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khubbard/Documents/2024 Documents/BPC/Apr/"/>
    </mc:Choice>
  </mc:AlternateContent>
  <xr:revisionPtr revIDLastSave="0" documentId="13_ncr:1_{10BF37F1-222C-2C4B-AC5B-A7E6FE0C8574}" xr6:coauthVersionLast="47" xr6:coauthVersionMax="47" xr10:uidLastSave="{00000000-0000-0000-0000-000000000000}"/>
  <bookViews>
    <workbookView xWindow="0" yWindow="500" windowWidth="16600" windowHeight="14260" xr2:uid="{F04DE43D-5FF2-A041-A057-2D1E4ED53363}"/>
  </bookViews>
  <sheets>
    <sheet name="2023~24 Cash Book" sheetId="8" r:id="rId1"/>
    <sheet name="FY Variances" sheetId="15" r:id="rId2"/>
    <sheet name="LIST 1" sheetId="12" r:id="rId3"/>
    <sheet name="2022~23 Cash Book" sheetId="5" r:id="rId4"/>
    <sheet name="Year end VAT" sheetId="7" r:id="rId5"/>
  </sheets>
  <definedNames>
    <definedName name="_xlnm.Print_Area" localSheetId="3">'2022~23 Cash Book'!$AE$108:$AO$132</definedName>
    <definedName name="_xlnm.Print_Area" localSheetId="0">'2023~24 Cash Book'!$C$16:$AE$74</definedName>
    <definedName name="_xlnm.Print_Area" localSheetId="1">'FY Variances'!$B$2:$P$29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8" l="1"/>
  <c r="H30" i="8" s="1"/>
  <c r="H31" i="8" s="1"/>
  <c r="H32" i="8" s="1"/>
  <c r="H33" i="8" s="1"/>
  <c r="H34" i="8" s="1"/>
  <c r="H35" i="8" s="1"/>
  <c r="H36" i="8" s="1"/>
  <c r="H37" i="8" s="1"/>
  <c r="H38" i="8" s="1"/>
  <c r="H39" i="8" s="1"/>
  <c r="H40" i="8" s="1"/>
  <c r="H43" i="8" s="1"/>
  <c r="H44" i="8" s="1"/>
  <c r="H45" i="8" s="1"/>
  <c r="H46" i="8" s="1"/>
  <c r="H47" i="8" s="1"/>
  <c r="H48" i="8" s="1"/>
  <c r="H49" i="8" s="1"/>
  <c r="H50" i="8" s="1"/>
  <c r="H58" i="8" s="1"/>
  <c r="H59" i="8" s="1"/>
  <c r="H60" i="8" s="1"/>
  <c r="H61" i="8" s="1"/>
  <c r="H64" i="8" s="1"/>
  <c r="H65" i="8" s="1"/>
  <c r="H66" i="8" s="1"/>
  <c r="BG100" i="8"/>
  <c r="BG95" i="8"/>
  <c r="O15" i="15"/>
  <c r="O16" i="15"/>
  <c r="O17" i="15"/>
  <c r="O18" i="15"/>
  <c r="O19" i="15"/>
  <c r="O11" i="15"/>
  <c r="V59" i="15"/>
  <c r="V56" i="15"/>
  <c r="Z56" i="15" s="1"/>
  <c r="Z59" i="15"/>
  <c r="AO125" i="15"/>
  <c r="AO127" i="15" s="1"/>
  <c r="AG92" i="15"/>
  <c r="AG101" i="15" s="1"/>
  <c r="AG110" i="15" s="1"/>
  <c r="AF92" i="15"/>
  <c r="AE92" i="15"/>
  <c r="AE101" i="15" s="1"/>
  <c r="AD92" i="15"/>
  <c r="AD101" i="15" s="1"/>
  <c r="AC92" i="15"/>
  <c r="AC101" i="15" s="1"/>
  <c r="AG88" i="15"/>
  <c r="AF88" i="15"/>
  <c r="AE88" i="15"/>
  <c r="AD88" i="15"/>
  <c r="AC88" i="15"/>
  <c r="AF85" i="15"/>
  <c r="AF94" i="15" s="1"/>
  <c r="AF103" i="15" s="1"/>
  <c r="AF112" i="15" s="1"/>
  <c r="AE85" i="15"/>
  <c r="AE94" i="15" s="1"/>
  <c r="AE103" i="15" s="1"/>
  <c r="AE112" i="15" s="1"/>
  <c r="AD85" i="15"/>
  <c r="AD94" i="15" s="1"/>
  <c r="AD103" i="15" s="1"/>
  <c r="AD112" i="15" s="1"/>
  <c r="AC76" i="15"/>
  <c r="AG76" i="15" s="1"/>
  <c r="AG85" i="15" s="1"/>
  <c r="AG94" i="15" s="1"/>
  <c r="AG103" i="15" s="1"/>
  <c r="AG112" i="15" s="1"/>
  <c r="AC74" i="15"/>
  <c r="AD74" i="15" s="1"/>
  <c r="Z69" i="15"/>
  <c r="X68" i="15"/>
  <c r="X70" i="15" s="1"/>
  <c r="M17" i="15" s="1"/>
  <c r="V68" i="15"/>
  <c r="V70" i="15" s="1"/>
  <c r="J17" i="15" s="1"/>
  <c r="S68" i="15"/>
  <c r="S70" i="15" s="1"/>
  <c r="F17" i="15" s="1"/>
  <c r="Z67" i="15"/>
  <c r="Z66" i="15"/>
  <c r="X64" i="15"/>
  <c r="V64" i="15"/>
  <c r="J16" i="15" s="1"/>
  <c r="S64" i="15"/>
  <c r="Z63" i="15"/>
  <c r="Z62" i="15"/>
  <c r="Z64" i="15" s="1"/>
  <c r="Z61" i="15"/>
  <c r="X60" i="15"/>
  <c r="M15" i="15" s="1"/>
  <c r="S60" i="15"/>
  <c r="T59" i="15"/>
  <c r="Z58" i="15"/>
  <c r="T58" i="15"/>
  <c r="Z57" i="15"/>
  <c r="T57" i="15"/>
  <c r="T56" i="15"/>
  <c r="Z55" i="15"/>
  <c r="T55" i="15"/>
  <c r="Z54" i="15"/>
  <c r="T54" i="15"/>
  <c r="Z53" i="15"/>
  <c r="T53" i="15"/>
  <c r="X47" i="15"/>
  <c r="M14" i="15" s="1"/>
  <c r="V47" i="15"/>
  <c r="J14" i="15" s="1"/>
  <c r="S47" i="15"/>
  <c r="F14" i="15" s="1"/>
  <c r="Z46" i="15"/>
  <c r="T46" i="15"/>
  <c r="Z45" i="15"/>
  <c r="T45" i="15"/>
  <c r="Z44" i="15"/>
  <c r="T44" i="15"/>
  <c r="Z43" i="15"/>
  <c r="T43" i="15"/>
  <c r="Z42" i="15"/>
  <c r="T42" i="15"/>
  <c r="Z41" i="15"/>
  <c r="T41" i="15"/>
  <c r="Z40" i="15"/>
  <c r="T40" i="15"/>
  <c r="Z39" i="15"/>
  <c r="T39" i="15"/>
  <c r="Z38" i="15"/>
  <c r="T38" i="15"/>
  <c r="Z37" i="15"/>
  <c r="T37" i="15"/>
  <c r="T36" i="15"/>
  <c r="X35" i="15"/>
  <c r="M13" i="15" s="1"/>
  <c r="V35" i="15"/>
  <c r="J13" i="15" s="1"/>
  <c r="S35" i="15"/>
  <c r="F13" i="15" s="1"/>
  <c r="Z34" i="15"/>
  <c r="T34" i="15"/>
  <c r="Z33" i="15"/>
  <c r="T33" i="15"/>
  <c r="Z32" i="15"/>
  <c r="Z35" i="15" s="1"/>
  <c r="T32" i="15"/>
  <c r="M26" i="15"/>
  <c r="F26" i="15"/>
  <c r="AO129" i="15" s="1"/>
  <c r="AO130" i="15" s="1"/>
  <c r="M16" i="15"/>
  <c r="F16" i="15"/>
  <c r="F15" i="15"/>
  <c r="M12" i="15"/>
  <c r="J12" i="15"/>
  <c r="F12" i="15"/>
  <c r="O10" i="15"/>
  <c r="V60" i="15" l="1"/>
  <c r="J15" i="15" s="1"/>
  <c r="T60" i="15"/>
  <c r="Z68" i="15"/>
  <c r="AF97" i="15"/>
  <c r="Z70" i="15"/>
  <c r="T35" i="15"/>
  <c r="M20" i="15"/>
  <c r="M21" i="15" s="1"/>
  <c r="M23" i="15" s="1"/>
  <c r="AC79" i="15"/>
  <c r="T47" i="15"/>
  <c r="AG97" i="15"/>
  <c r="AF101" i="15"/>
  <c r="AG106" i="15" s="1"/>
  <c r="AC85" i="15"/>
  <c r="AC94" i="15" s="1"/>
  <c r="AC103" i="15" s="1"/>
  <c r="AC112" i="15" s="1"/>
  <c r="O12" i="15"/>
  <c r="O14" i="15"/>
  <c r="Z60" i="15"/>
  <c r="Z47" i="15"/>
  <c r="AC110" i="15"/>
  <c r="AC106" i="15"/>
  <c r="O13" i="15"/>
  <c r="J20" i="15"/>
  <c r="J21" i="15" s="1"/>
  <c r="J23" i="15" s="1"/>
  <c r="AD106" i="15"/>
  <c r="AD110" i="15"/>
  <c r="AE106" i="15"/>
  <c r="AE110" i="15"/>
  <c r="AE74" i="15"/>
  <c r="AD79" i="15"/>
  <c r="AO132" i="15"/>
  <c r="F27" i="15"/>
  <c r="M27" i="15" s="1"/>
  <c r="F20" i="15"/>
  <c r="AC75" i="15" s="1"/>
  <c r="AC97" i="15"/>
  <c r="AD97" i="15"/>
  <c r="AE97" i="15"/>
  <c r="O20" i="15" l="1"/>
  <c r="O21" i="15" s="1"/>
  <c r="AF110" i="15"/>
  <c r="AF106" i="15"/>
  <c r="AF115" i="15"/>
  <c r="AE115" i="15"/>
  <c r="AG115" i="15"/>
  <c r="AC115" i="15"/>
  <c r="AC111" i="15"/>
  <c r="AC113" i="15" s="1"/>
  <c r="AC114" i="15" s="1"/>
  <c r="AC84" i="15"/>
  <c r="AC77" i="15"/>
  <c r="AC78" i="15" s="1"/>
  <c r="AD75" i="15"/>
  <c r="AE79" i="15"/>
  <c r="AD115" i="15"/>
  <c r="F21" i="15"/>
  <c r="F23" i="15" s="1"/>
  <c r="AC116" i="15" l="1"/>
  <c r="AD111" i="15"/>
  <c r="AD113" i="15" s="1"/>
  <c r="AD114" i="15" s="1"/>
  <c r="AE75" i="15"/>
  <c r="AD77" i="15"/>
  <c r="AD78" i="15" s="1"/>
  <c r="AC80" i="15"/>
  <c r="AC93" i="15"/>
  <c r="AC86" i="15"/>
  <c r="AC87" i="15" s="1"/>
  <c r="AD84" i="15"/>
  <c r="AD80" i="15" l="1"/>
  <c r="AD116" i="15"/>
  <c r="AD93" i="15"/>
  <c r="AC102" i="15"/>
  <c r="AC104" i="15" s="1"/>
  <c r="AC105" i="15" s="1"/>
  <c r="AC95" i="15"/>
  <c r="AC96" i="15" s="1"/>
  <c r="AE111" i="15"/>
  <c r="AE113" i="15" s="1"/>
  <c r="AE114" i="15" s="1"/>
  <c r="AF75" i="15"/>
  <c r="AE77" i="15"/>
  <c r="AE78" i="15" s="1"/>
  <c r="AD86" i="15"/>
  <c r="AE84" i="15"/>
  <c r="AC89" i="15"/>
  <c r="AD87" i="15"/>
  <c r="AE80" i="15" l="1"/>
  <c r="AE116" i="15"/>
  <c r="AC98" i="15"/>
  <c r="AC107" i="15"/>
  <c r="AE93" i="15"/>
  <c r="AD102" i="15"/>
  <c r="AD104" i="15" s="1"/>
  <c r="AD105" i="15" s="1"/>
  <c r="AD95" i="15"/>
  <c r="AD96" i="15" s="1"/>
  <c r="AF84" i="15"/>
  <c r="AE86" i="15"/>
  <c r="AD89" i="15"/>
  <c r="AE87" i="15"/>
  <c r="AF74" i="15"/>
  <c r="AG75" i="15"/>
  <c r="AF111" i="15"/>
  <c r="AF113" i="15" s="1"/>
  <c r="AF114" i="15" s="1"/>
  <c r="AF116" i="15" l="1"/>
  <c r="AF77" i="15"/>
  <c r="AF78" i="15" s="1"/>
  <c r="AF79" i="15"/>
  <c r="AD98" i="15"/>
  <c r="AE89" i="15"/>
  <c r="AF86" i="15"/>
  <c r="AF87" i="15" s="1"/>
  <c r="AG84" i="15"/>
  <c r="AG86" i="15" s="1"/>
  <c r="AD107" i="15"/>
  <c r="AG111" i="15"/>
  <c r="AG113" i="15" s="1"/>
  <c r="AG114" i="15" s="1"/>
  <c r="AG116" i="15" s="1"/>
  <c r="AG74" i="15"/>
  <c r="AE102" i="15"/>
  <c r="AE104" i="15" s="1"/>
  <c r="AE105" i="15" s="1"/>
  <c r="AE95" i="15"/>
  <c r="AE96" i="15" s="1"/>
  <c r="AF93" i="15"/>
  <c r="AE98" i="15" l="1"/>
  <c r="AE107" i="15"/>
  <c r="AF105" i="15"/>
  <c r="AG87" i="15"/>
  <c r="AG89" i="15" s="1"/>
  <c r="AF89" i="15"/>
  <c r="AG78" i="15"/>
  <c r="AG80" i="15" s="1"/>
  <c r="AF80" i="15"/>
  <c r="AG79" i="15"/>
  <c r="AG77" i="15"/>
  <c r="AF102" i="15"/>
  <c r="AF104" i="15" s="1"/>
  <c r="AG93" i="15"/>
  <c r="AF95" i="15"/>
  <c r="AF96" i="15" s="1"/>
  <c r="AF98" i="15" l="1"/>
  <c r="AG102" i="15"/>
  <c r="AG104" i="15" s="1"/>
  <c r="AG95" i="15"/>
  <c r="AG96" i="15" s="1"/>
  <c r="AG98" i="15" s="1"/>
  <c r="AF107" i="15"/>
  <c r="AG105" i="15"/>
  <c r="AG107" i="15" s="1"/>
  <c r="BE102" i="8" l="1"/>
  <c r="BE99" i="8"/>
  <c r="BE98" i="8"/>
  <c r="BB107" i="8"/>
  <c r="BC107" i="8" s="1"/>
  <c r="AZ107" i="8"/>
  <c r="AD19" i="8"/>
  <c r="AD20" i="8"/>
  <c r="AD21" i="8"/>
  <c r="AD22" i="8"/>
  <c r="AD23" i="8"/>
  <c r="AD24" i="8"/>
  <c r="AD25" i="8"/>
  <c r="AD26" i="8"/>
  <c r="AD27" i="8"/>
  <c r="AD28" i="8"/>
  <c r="AD29" i="8"/>
  <c r="AD30" i="8"/>
  <c r="AD31" i="8"/>
  <c r="AD32" i="8"/>
  <c r="AD33" i="8"/>
  <c r="AD34" i="8"/>
  <c r="AD35" i="8"/>
  <c r="AD36" i="8"/>
  <c r="AD37" i="8"/>
  <c r="AD38" i="8"/>
  <c r="AD39" i="8"/>
  <c r="AD40" i="8"/>
  <c r="AD41" i="8"/>
  <c r="AD42" i="8"/>
  <c r="AD43" i="8"/>
  <c r="AD44" i="8"/>
  <c r="AD45" i="8"/>
  <c r="AD46" i="8"/>
  <c r="AD47" i="8"/>
  <c r="AD48" i="8"/>
  <c r="AD49" i="8"/>
  <c r="AD50" i="8"/>
  <c r="AD51" i="8"/>
  <c r="AD52" i="8"/>
  <c r="AD53" i="8"/>
  <c r="AD54" i="8"/>
  <c r="AD55" i="8"/>
  <c r="AD56" i="8"/>
  <c r="AD57" i="8"/>
  <c r="AD58" i="8"/>
  <c r="AD59" i="8"/>
  <c r="AD60" i="8"/>
  <c r="AD61" i="8"/>
  <c r="AD62" i="8"/>
  <c r="AD63" i="8"/>
  <c r="AD64" i="8"/>
  <c r="AD66" i="8"/>
  <c r="AD68" i="8"/>
  <c r="AD69" i="8"/>
  <c r="AD70" i="8"/>
  <c r="AD71" i="8"/>
  <c r="AD72" i="8"/>
  <c r="AD18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O18" i="8"/>
  <c r="P18" i="8"/>
  <c r="Q18" i="8"/>
  <c r="R18" i="8"/>
  <c r="S18" i="8"/>
  <c r="T18" i="8"/>
  <c r="U18" i="8"/>
  <c r="W18" i="8"/>
  <c r="X18" i="8"/>
  <c r="Y18" i="8"/>
  <c r="Z18" i="8"/>
  <c r="AA18" i="8"/>
  <c r="AB18" i="8"/>
  <c r="O19" i="8"/>
  <c r="P19" i="8"/>
  <c r="Q19" i="8"/>
  <c r="R19" i="8"/>
  <c r="S19" i="8"/>
  <c r="T19" i="8"/>
  <c r="U19" i="8"/>
  <c r="W19" i="8"/>
  <c r="X19" i="8"/>
  <c r="Y19" i="8"/>
  <c r="Z19" i="8"/>
  <c r="AB19" i="8"/>
  <c r="AC19" i="8"/>
  <c r="O20" i="8"/>
  <c r="P20" i="8"/>
  <c r="Q20" i="8"/>
  <c r="R20" i="8"/>
  <c r="S20" i="8"/>
  <c r="T20" i="8"/>
  <c r="U20" i="8"/>
  <c r="W20" i="8"/>
  <c r="X20" i="8"/>
  <c r="Y20" i="8"/>
  <c r="Z20" i="8"/>
  <c r="AA20" i="8"/>
  <c r="AB20" i="8"/>
  <c r="O21" i="8"/>
  <c r="Q21" i="8"/>
  <c r="R21" i="8"/>
  <c r="S21" i="8"/>
  <c r="T21" i="8"/>
  <c r="U21" i="8"/>
  <c r="W21" i="8"/>
  <c r="X21" i="8"/>
  <c r="Y21" i="8"/>
  <c r="Z21" i="8"/>
  <c r="AA21" i="8"/>
  <c r="AB21" i="8"/>
  <c r="AC21" i="8"/>
  <c r="O22" i="8"/>
  <c r="P22" i="8"/>
  <c r="Q22" i="8"/>
  <c r="R22" i="8"/>
  <c r="S22" i="8"/>
  <c r="T22" i="8"/>
  <c r="U22" i="8"/>
  <c r="X22" i="8"/>
  <c r="Y22" i="8"/>
  <c r="Z22" i="8"/>
  <c r="AA22" i="8"/>
  <c r="AB22" i="8"/>
  <c r="AC22" i="8"/>
  <c r="O23" i="8"/>
  <c r="P23" i="8"/>
  <c r="Q23" i="8"/>
  <c r="R23" i="8"/>
  <c r="S23" i="8"/>
  <c r="T23" i="8"/>
  <c r="U23" i="8"/>
  <c r="X23" i="8"/>
  <c r="Y23" i="8"/>
  <c r="Z23" i="8"/>
  <c r="AA23" i="8"/>
  <c r="AB23" i="8"/>
  <c r="AC23" i="8"/>
  <c r="O24" i="8"/>
  <c r="Q24" i="8"/>
  <c r="R24" i="8"/>
  <c r="S24" i="8"/>
  <c r="T24" i="8"/>
  <c r="U24" i="8"/>
  <c r="W24" i="8"/>
  <c r="X24" i="8"/>
  <c r="Y24" i="8"/>
  <c r="Z24" i="8"/>
  <c r="AA24" i="8"/>
  <c r="AB24" i="8"/>
  <c r="AC24" i="8"/>
  <c r="O25" i="8"/>
  <c r="P25" i="8"/>
  <c r="Q25" i="8"/>
  <c r="R25" i="8"/>
  <c r="S25" i="8"/>
  <c r="T25" i="8"/>
  <c r="U25" i="8"/>
  <c r="W25" i="8"/>
  <c r="X25" i="8"/>
  <c r="Y25" i="8"/>
  <c r="Z25" i="8"/>
  <c r="AA25" i="8"/>
  <c r="AB25" i="8"/>
  <c r="P26" i="8"/>
  <c r="Q26" i="8"/>
  <c r="R26" i="8"/>
  <c r="S26" i="8"/>
  <c r="T26" i="8"/>
  <c r="U26" i="8"/>
  <c r="W26" i="8"/>
  <c r="X26" i="8"/>
  <c r="Y26" i="8"/>
  <c r="Z26" i="8"/>
  <c r="AA26" i="8"/>
  <c r="AB26" i="8"/>
  <c r="AC26" i="8"/>
  <c r="O27" i="8"/>
  <c r="P27" i="8"/>
  <c r="Q27" i="8"/>
  <c r="R27" i="8"/>
  <c r="S27" i="8"/>
  <c r="T27" i="8"/>
  <c r="U27" i="8"/>
  <c r="W27" i="8"/>
  <c r="X27" i="8"/>
  <c r="Y27" i="8"/>
  <c r="Z27" i="8"/>
  <c r="AA27" i="8"/>
  <c r="AB27" i="8"/>
  <c r="O28" i="8"/>
  <c r="P28" i="8"/>
  <c r="Q28" i="8"/>
  <c r="R28" i="8"/>
  <c r="S28" i="8"/>
  <c r="T28" i="8"/>
  <c r="U28" i="8"/>
  <c r="W28" i="8"/>
  <c r="X28" i="8"/>
  <c r="Z28" i="8"/>
  <c r="AA28" i="8"/>
  <c r="AB28" i="8"/>
  <c r="AC28" i="8"/>
  <c r="O29" i="8"/>
  <c r="P29" i="8"/>
  <c r="Q29" i="8"/>
  <c r="R29" i="8"/>
  <c r="S29" i="8"/>
  <c r="U29" i="8"/>
  <c r="W29" i="8"/>
  <c r="X29" i="8"/>
  <c r="Y29" i="8"/>
  <c r="Z29" i="8"/>
  <c r="AA29" i="8"/>
  <c r="AB29" i="8"/>
  <c r="AC29" i="8"/>
  <c r="O30" i="8"/>
  <c r="P30" i="8"/>
  <c r="Q30" i="8"/>
  <c r="R30" i="8"/>
  <c r="S30" i="8"/>
  <c r="T30" i="8"/>
  <c r="U30" i="8"/>
  <c r="X30" i="8"/>
  <c r="Y30" i="8"/>
  <c r="Z30" i="8"/>
  <c r="AA30" i="8"/>
  <c r="AB30" i="8"/>
  <c r="AC30" i="8"/>
  <c r="O31" i="8"/>
  <c r="Q31" i="8"/>
  <c r="R31" i="8"/>
  <c r="S31" i="8"/>
  <c r="T31" i="8"/>
  <c r="U31" i="8"/>
  <c r="W31" i="8"/>
  <c r="X31" i="8"/>
  <c r="Y31" i="8"/>
  <c r="Z31" i="8"/>
  <c r="AA31" i="8"/>
  <c r="AB31" i="8"/>
  <c r="AC31" i="8"/>
  <c r="P32" i="8"/>
  <c r="Q32" i="8"/>
  <c r="R32" i="8"/>
  <c r="S32" i="8"/>
  <c r="T32" i="8"/>
  <c r="U32" i="8"/>
  <c r="W32" i="8"/>
  <c r="X32" i="8"/>
  <c r="Y32" i="8"/>
  <c r="Z32" i="8"/>
  <c r="AA32" i="8"/>
  <c r="AB32" i="8"/>
  <c r="AC32" i="8"/>
  <c r="O33" i="8"/>
  <c r="P33" i="8"/>
  <c r="Q33" i="8"/>
  <c r="R33" i="8"/>
  <c r="S33" i="8"/>
  <c r="T33" i="8"/>
  <c r="W33" i="8"/>
  <c r="Y33" i="8"/>
  <c r="Z33" i="8"/>
  <c r="AA33" i="8"/>
  <c r="AB33" i="8"/>
  <c r="AC33" i="8"/>
  <c r="O34" i="8"/>
  <c r="P34" i="8"/>
  <c r="Q34" i="8"/>
  <c r="R34" i="8"/>
  <c r="S34" i="8"/>
  <c r="T34" i="8"/>
  <c r="W34" i="8"/>
  <c r="Y34" i="8"/>
  <c r="Z34" i="8"/>
  <c r="AA34" i="8"/>
  <c r="AB34" i="8"/>
  <c r="AC34" i="8"/>
  <c r="O35" i="8"/>
  <c r="P35" i="8"/>
  <c r="Q35" i="8"/>
  <c r="R35" i="8"/>
  <c r="S35" i="8"/>
  <c r="T35" i="8"/>
  <c r="U35" i="8"/>
  <c r="W35" i="8"/>
  <c r="X35" i="8"/>
  <c r="Y35" i="8"/>
  <c r="Z35" i="8"/>
  <c r="AA35" i="8"/>
  <c r="AB35" i="8"/>
  <c r="P36" i="8"/>
  <c r="Q36" i="8"/>
  <c r="R36" i="8"/>
  <c r="S36" i="8"/>
  <c r="T36" i="8"/>
  <c r="U36" i="8"/>
  <c r="W36" i="8"/>
  <c r="X36" i="8"/>
  <c r="Y36" i="8"/>
  <c r="Z36" i="8"/>
  <c r="AA36" i="8"/>
  <c r="AB36" i="8"/>
  <c r="AC36" i="8"/>
  <c r="O37" i="8"/>
  <c r="P37" i="8"/>
  <c r="Q37" i="8"/>
  <c r="R37" i="8"/>
  <c r="S37" i="8"/>
  <c r="T37" i="8"/>
  <c r="U37" i="8"/>
  <c r="X37" i="8"/>
  <c r="Y37" i="8"/>
  <c r="Z37" i="8"/>
  <c r="AA37" i="8"/>
  <c r="AB37" i="8"/>
  <c r="AC37" i="8"/>
  <c r="AO115" i="8"/>
  <c r="P39" i="8"/>
  <c r="P40" i="8"/>
  <c r="P41" i="8"/>
  <c r="P42" i="8"/>
  <c r="P44" i="8"/>
  <c r="P45" i="8"/>
  <c r="P46" i="8"/>
  <c r="P47" i="8"/>
  <c r="P48" i="8"/>
  <c r="P49" i="8"/>
  <c r="P50" i="8"/>
  <c r="P51" i="8"/>
  <c r="P52" i="8"/>
  <c r="P53" i="8"/>
  <c r="P54" i="8"/>
  <c r="P56" i="8"/>
  <c r="P58" i="8"/>
  <c r="P59" i="8"/>
  <c r="P60" i="8"/>
  <c r="P61" i="8"/>
  <c r="P62" i="8"/>
  <c r="P64" i="8"/>
  <c r="P65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38" i="8"/>
  <c r="AW97" i="8"/>
  <c r="AU97" i="8"/>
  <c r="AP97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18" i="8"/>
  <c r="B8" i="8"/>
  <c r="B9" i="8"/>
  <c r="B10" i="8"/>
  <c r="B11" i="8"/>
  <c r="B7" i="8"/>
  <c r="G50" i="8"/>
  <c r="G53" i="8" s="1"/>
  <c r="G17" i="7"/>
  <c r="C67" i="8" l="1"/>
  <c r="AR128" i="8" s="1"/>
  <c r="AR129" i="8" s="1"/>
  <c r="AO116" i="8"/>
  <c r="AO113" i="8"/>
  <c r="AC46" i="8"/>
  <c r="AA46" i="8"/>
  <c r="Z46" i="8"/>
  <c r="Y46" i="8"/>
  <c r="X46" i="8"/>
  <c r="W46" i="8"/>
  <c r="U46" i="8"/>
  <c r="T46" i="8"/>
  <c r="S46" i="8"/>
  <c r="R46" i="8"/>
  <c r="O46" i="8"/>
  <c r="M46" i="8"/>
  <c r="N46" i="8" s="1"/>
  <c r="AB46" i="8" l="1"/>
  <c r="AE46" i="8" s="1"/>
  <c r="AC66" i="8" l="1"/>
  <c r="AB66" i="8"/>
  <c r="AA66" i="8"/>
  <c r="Z66" i="8"/>
  <c r="Y66" i="8"/>
  <c r="X66" i="8"/>
  <c r="W66" i="8"/>
  <c r="U66" i="8"/>
  <c r="T66" i="8"/>
  <c r="S66" i="8"/>
  <c r="R66" i="8"/>
  <c r="O66" i="8"/>
  <c r="M66" i="8"/>
  <c r="N66" i="8" s="1"/>
  <c r="P66" i="8" s="1"/>
  <c r="AC65" i="8"/>
  <c r="AB65" i="8"/>
  <c r="AA65" i="8"/>
  <c r="Z65" i="8"/>
  <c r="Y65" i="8"/>
  <c r="X65" i="8"/>
  <c r="W65" i="8"/>
  <c r="U65" i="8"/>
  <c r="T65" i="8"/>
  <c r="S65" i="8"/>
  <c r="R65" i="8"/>
  <c r="O65" i="8"/>
  <c r="M65" i="8"/>
  <c r="N65" i="8" s="1"/>
  <c r="AC64" i="8"/>
  <c r="AB64" i="8"/>
  <c r="AA64" i="8"/>
  <c r="Z64" i="8"/>
  <c r="Y64" i="8"/>
  <c r="X64" i="8"/>
  <c r="U64" i="8"/>
  <c r="T64" i="8"/>
  <c r="S64" i="8"/>
  <c r="R64" i="8"/>
  <c r="O64" i="8"/>
  <c r="M64" i="8"/>
  <c r="N64" i="8" s="1"/>
  <c r="W64" i="8" s="1"/>
  <c r="AC63" i="8"/>
  <c r="AB63" i="8"/>
  <c r="AA63" i="8"/>
  <c r="Z63" i="8"/>
  <c r="Y63" i="8"/>
  <c r="X63" i="8"/>
  <c r="W63" i="8"/>
  <c r="U63" i="8"/>
  <c r="T63" i="8"/>
  <c r="S63" i="8"/>
  <c r="R63" i="8"/>
  <c r="M63" i="8"/>
  <c r="N63" i="8" s="1"/>
  <c r="P63" i="8" s="1"/>
  <c r="AC62" i="8"/>
  <c r="AB62" i="8"/>
  <c r="AA62" i="8"/>
  <c r="Z62" i="8"/>
  <c r="Y62" i="8"/>
  <c r="X62" i="8"/>
  <c r="W62" i="8"/>
  <c r="U62" i="8"/>
  <c r="T62" i="8"/>
  <c r="S62" i="8"/>
  <c r="R62" i="8"/>
  <c r="O62" i="8"/>
  <c r="M62" i="8"/>
  <c r="N62" i="8" s="1"/>
  <c r="AC61" i="8"/>
  <c r="AB61" i="8"/>
  <c r="AA61" i="8"/>
  <c r="Z61" i="8"/>
  <c r="Y61" i="8"/>
  <c r="X61" i="8"/>
  <c r="W61" i="8"/>
  <c r="U61" i="8"/>
  <c r="T61" i="8"/>
  <c r="S61" i="8"/>
  <c r="R61" i="8"/>
  <c r="M61" i="8"/>
  <c r="N61" i="8" s="1"/>
  <c r="O61" i="8" s="1"/>
  <c r="AC60" i="8"/>
  <c r="AB60" i="8"/>
  <c r="AA60" i="8"/>
  <c r="Z60" i="8"/>
  <c r="Y60" i="8"/>
  <c r="X60" i="8"/>
  <c r="W60" i="8"/>
  <c r="U60" i="8"/>
  <c r="T60" i="8"/>
  <c r="S60" i="8"/>
  <c r="O60" i="8"/>
  <c r="M60" i="8"/>
  <c r="N60" i="8" s="1"/>
  <c r="R60" i="8" s="1"/>
  <c r="AB59" i="8"/>
  <c r="AA59" i="8"/>
  <c r="Z59" i="8"/>
  <c r="Y59" i="8"/>
  <c r="X59" i="8"/>
  <c r="W59" i="8"/>
  <c r="U59" i="8"/>
  <c r="T59" i="8"/>
  <c r="S59" i="8"/>
  <c r="R59" i="8"/>
  <c r="O59" i="8"/>
  <c r="M59" i="8"/>
  <c r="AB58" i="8"/>
  <c r="AA58" i="8"/>
  <c r="Z58" i="8"/>
  <c r="Y58" i="8"/>
  <c r="X58" i="8"/>
  <c r="W58" i="8"/>
  <c r="U58" i="8"/>
  <c r="T58" i="8"/>
  <c r="S58" i="8"/>
  <c r="R58" i="8"/>
  <c r="M58" i="8"/>
  <c r="N58" i="8" s="1"/>
  <c r="AC57" i="8"/>
  <c r="AB57" i="8"/>
  <c r="AA57" i="8"/>
  <c r="Z57" i="8"/>
  <c r="Y57" i="8"/>
  <c r="X57" i="8"/>
  <c r="W57" i="8"/>
  <c r="U57" i="8"/>
  <c r="T57" i="8"/>
  <c r="S57" i="8"/>
  <c r="R57" i="8"/>
  <c r="O57" i="8"/>
  <c r="M57" i="8"/>
  <c r="N57" i="8" s="1"/>
  <c r="P57" i="8" s="1"/>
  <c r="AC56" i="8"/>
  <c r="AB56" i="8"/>
  <c r="AA56" i="8"/>
  <c r="Z56" i="8"/>
  <c r="Y56" i="8"/>
  <c r="X56" i="8"/>
  <c r="U56" i="8"/>
  <c r="T56" i="8"/>
  <c r="S56" i="8"/>
  <c r="R56" i="8"/>
  <c r="O56" i="8"/>
  <c r="M56" i="8"/>
  <c r="N56" i="8" s="1"/>
  <c r="W56" i="8" s="1"/>
  <c r="AC55" i="8"/>
  <c r="AB55" i="8"/>
  <c r="AA55" i="8"/>
  <c r="Z55" i="8"/>
  <c r="Y55" i="8"/>
  <c r="X55" i="8"/>
  <c r="W55" i="8"/>
  <c r="U55" i="8"/>
  <c r="T55" i="8"/>
  <c r="S55" i="8"/>
  <c r="R55" i="8"/>
  <c r="O55" i="8"/>
  <c r="M55" i="8"/>
  <c r="AB54" i="8"/>
  <c r="AA54" i="8"/>
  <c r="Z54" i="8"/>
  <c r="Y54" i="8"/>
  <c r="X54" i="8"/>
  <c r="W54" i="8"/>
  <c r="U54" i="8"/>
  <c r="T54" i="8"/>
  <c r="S54" i="8"/>
  <c r="R54" i="8"/>
  <c r="O54" i="8"/>
  <c r="M54" i="8"/>
  <c r="AC53" i="8"/>
  <c r="AB53" i="8"/>
  <c r="AA53" i="8"/>
  <c r="Z53" i="8"/>
  <c r="Y53" i="8"/>
  <c r="X53" i="8"/>
  <c r="W53" i="8"/>
  <c r="U53" i="8"/>
  <c r="T53" i="8"/>
  <c r="S53" i="8"/>
  <c r="R53" i="8"/>
  <c r="O53" i="8"/>
  <c r="M53" i="8"/>
  <c r="AC52" i="8"/>
  <c r="AB52" i="8"/>
  <c r="AA52" i="8"/>
  <c r="Z52" i="8"/>
  <c r="Y52" i="8"/>
  <c r="X52" i="8"/>
  <c r="W52" i="8"/>
  <c r="U52" i="8"/>
  <c r="T52" i="8"/>
  <c r="S52" i="8"/>
  <c r="R52" i="8"/>
  <c r="M52" i="8"/>
  <c r="AC51" i="8"/>
  <c r="AB51" i="8"/>
  <c r="AA51" i="8"/>
  <c r="Z51" i="8"/>
  <c r="Y51" i="8"/>
  <c r="X51" i="8"/>
  <c r="W51" i="8"/>
  <c r="U51" i="8"/>
  <c r="T51" i="8"/>
  <c r="S51" i="8"/>
  <c r="R51" i="8"/>
  <c r="O51" i="8"/>
  <c r="M51" i="8"/>
  <c r="AC50" i="8"/>
  <c r="AB50" i="8"/>
  <c r="AA50" i="8"/>
  <c r="Z50" i="8"/>
  <c r="Y50" i="8"/>
  <c r="X50" i="8"/>
  <c r="U50" i="8"/>
  <c r="T50" i="8"/>
  <c r="S50" i="8"/>
  <c r="R50" i="8"/>
  <c r="M50" i="8"/>
  <c r="AC49" i="8"/>
  <c r="AB49" i="8"/>
  <c r="Z49" i="8"/>
  <c r="Y49" i="8"/>
  <c r="X49" i="8"/>
  <c r="U49" i="8"/>
  <c r="T49" i="8"/>
  <c r="S49" i="8"/>
  <c r="R49" i="8"/>
  <c r="O49" i="8"/>
  <c r="M49" i="8"/>
  <c r="AB48" i="8"/>
  <c r="AA48" i="8"/>
  <c r="Z48" i="8"/>
  <c r="Y48" i="8"/>
  <c r="X48" i="8"/>
  <c r="W48" i="8"/>
  <c r="U48" i="8"/>
  <c r="S48" i="8"/>
  <c r="R48" i="8"/>
  <c r="O48" i="8"/>
  <c r="M48" i="8"/>
  <c r="AC47" i="8"/>
  <c r="AB47" i="8"/>
  <c r="AA47" i="8"/>
  <c r="Z47" i="8"/>
  <c r="Y47" i="8"/>
  <c r="X47" i="8"/>
  <c r="W47" i="8"/>
  <c r="U47" i="8"/>
  <c r="T47" i="8"/>
  <c r="R47" i="8"/>
  <c r="M47" i="8"/>
  <c r="AC45" i="8"/>
  <c r="AB45" i="8"/>
  <c r="Z45" i="8"/>
  <c r="Y45" i="8"/>
  <c r="W45" i="8"/>
  <c r="U45" i="8"/>
  <c r="T45" i="8"/>
  <c r="S45" i="8"/>
  <c r="R45" i="8"/>
  <c r="M45" i="8"/>
  <c r="AC44" i="8"/>
  <c r="AB44" i="8"/>
  <c r="AA44" i="8"/>
  <c r="Z44" i="8"/>
  <c r="Y44" i="8"/>
  <c r="X44" i="8"/>
  <c r="U44" i="8"/>
  <c r="T44" i="8"/>
  <c r="S44" i="8"/>
  <c r="R44" i="8"/>
  <c r="O44" i="8"/>
  <c r="M44" i="8"/>
  <c r="AC43" i="8"/>
  <c r="AA43" i="8"/>
  <c r="Z43" i="8"/>
  <c r="Y43" i="8"/>
  <c r="X43" i="8"/>
  <c r="W43" i="8"/>
  <c r="U43" i="8"/>
  <c r="T43" i="8"/>
  <c r="S43" i="8"/>
  <c r="R43" i="8"/>
  <c r="O43" i="8"/>
  <c r="M43" i="8"/>
  <c r="AB42" i="8"/>
  <c r="AA42" i="8"/>
  <c r="Z42" i="8"/>
  <c r="X42" i="8"/>
  <c r="W42" i="8"/>
  <c r="U42" i="8"/>
  <c r="T42" i="8"/>
  <c r="S42" i="8"/>
  <c r="R42" i="8"/>
  <c r="O42" i="8"/>
  <c r="M42" i="8"/>
  <c r="AC41" i="8"/>
  <c r="AA41" i="8"/>
  <c r="Z41" i="8"/>
  <c r="Y41" i="8"/>
  <c r="X41" i="8"/>
  <c r="W41" i="8"/>
  <c r="U41" i="8"/>
  <c r="T41" i="8"/>
  <c r="S41" i="8"/>
  <c r="R41" i="8"/>
  <c r="O41" i="8"/>
  <c r="AC40" i="8"/>
  <c r="AB40" i="8"/>
  <c r="AA40" i="8"/>
  <c r="Y40" i="8"/>
  <c r="X40" i="8"/>
  <c r="W40" i="8"/>
  <c r="U40" i="8"/>
  <c r="T40" i="8"/>
  <c r="S40" i="8"/>
  <c r="R40" i="8"/>
  <c r="N40" i="8"/>
  <c r="Z40" i="8" s="1"/>
  <c r="AB39" i="8"/>
  <c r="AA39" i="8"/>
  <c r="Z39" i="8"/>
  <c r="Y39" i="8"/>
  <c r="X39" i="8"/>
  <c r="W39" i="8"/>
  <c r="T39" i="8"/>
  <c r="S39" i="8"/>
  <c r="R39" i="8"/>
  <c r="O39" i="8"/>
  <c r="N39" i="8"/>
  <c r="U39" i="8" s="1"/>
  <c r="O38" i="8"/>
  <c r="AC38" i="8"/>
  <c r="AB38" i="8"/>
  <c r="AA38" i="8"/>
  <c r="Z38" i="8"/>
  <c r="Y38" i="8"/>
  <c r="X38" i="8"/>
  <c r="W38" i="8"/>
  <c r="U38" i="8"/>
  <c r="T38" i="8"/>
  <c r="S38" i="8"/>
  <c r="R38" i="8"/>
  <c r="AW101" i="8"/>
  <c r="AW98" i="8"/>
  <c r="AW92" i="8"/>
  <c r="AE56" i="8" l="1"/>
  <c r="AE60" i="8"/>
  <c r="AE62" i="8"/>
  <c r="AE58" i="8"/>
  <c r="AE64" i="8"/>
  <c r="AE66" i="8"/>
  <c r="AR131" i="8"/>
  <c r="AE61" i="8"/>
  <c r="AE57" i="8"/>
  <c r="N59" i="8"/>
  <c r="AC59" i="8" s="1"/>
  <c r="AE59" i="8" s="1"/>
  <c r="AD65" i="8"/>
  <c r="AE65" i="8" s="1"/>
  <c r="AR130" i="8"/>
  <c r="O63" i="8"/>
  <c r="AE63" i="8" s="1"/>
  <c r="O40" i="8"/>
  <c r="AE40" i="8" s="1"/>
  <c r="AC39" i="8"/>
  <c r="AE39" i="8" s="1"/>
  <c r="N41" i="8"/>
  <c r="N42" i="8"/>
  <c r="AW109" i="8"/>
  <c r="AW110" i="8" s="1"/>
  <c r="AW111" i="8" s="1"/>
  <c r="AD73" i="8" l="1"/>
  <c r="AQ107" i="8" s="1"/>
  <c r="Y42" i="8"/>
  <c r="AC42" i="8"/>
  <c r="AB41" i="8"/>
  <c r="AE41" i="8" s="1"/>
  <c r="N44" i="8"/>
  <c r="W44" i="8" s="1"/>
  <c r="AE44" i="8" s="1"/>
  <c r="N43" i="8"/>
  <c r="P43" i="8" s="1"/>
  <c r="N25" i="8"/>
  <c r="C74" i="5"/>
  <c r="C82" i="5"/>
  <c r="C81" i="5"/>
  <c r="C77" i="5"/>
  <c r="N18" i="8"/>
  <c r="AC18" i="8" s="1"/>
  <c r="AE18" i="8" s="1"/>
  <c r="N19" i="8"/>
  <c r="AA19" i="8" s="1"/>
  <c r="AE19" i="8" s="1"/>
  <c r="N20" i="8"/>
  <c r="AC20" i="8" s="1"/>
  <c r="AE20" i="8" s="1"/>
  <c r="N21" i="8"/>
  <c r="P21" i="8" s="1"/>
  <c r="AE21" i="8" s="1"/>
  <c r="N22" i="8"/>
  <c r="W22" i="8" s="1"/>
  <c r="AE22" i="8" s="1"/>
  <c r="N23" i="8"/>
  <c r="W23" i="8" s="1"/>
  <c r="AE23" i="8" s="1"/>
  <c r="N24" i="8"/>
  <c r="P24" i="8" s="1"/>
  <c r="AE24" i="8" s="1"/>
  <c r="N27" i="8"/>
  <c r="AC27" i="8" s="1"/>
  <c r="AE27" i="8" s="1"/>
  <c r="N26" i="8"/>
  <c r="N28" i="8"/>
  <c r="N29" i="8"/>
  <c r="N30" i="8"/>
  <c r="N31" i="8"/>
  <c r="N32" i="8"/>
  <c r="N33" i="8"/>
  <c r="N34" i="8"/>
  <c r="N35" i="8"/>
  <c r="N36" i="8"/>
  <c r="O36" i="8" s="1"/>
  <c r="AE36" i="8" s="1"/>
  <c r="N37" i="8"/>
  <c r="N38" i="8"/>
  <c r="P38" i="8" s="1"/>
  <c r="AE38" i="8" s="1"/>
  <c r="AE68" i="8"/>
  <c r="AE69" i="8"/>
  <c r="AE70" i="8"/>
  <c r="AE71" i="8"/>
  <c r="AE72" i="8"/>
  <c r="Z73" i="8"/>
  <c r="BG7" i="8"/>
  <c r="BG10" i="8"/>
  <c r="BG11" i="8"/>
  <c r="BG12" i="8"/>
  <c r="B12" i="8" s="1"/>
  <c r="BG13" i="8"/>
  <c r="B13" i="8" s="1"/>
  <c r="BG14" i="8"/>
  <c r="B14" i="8" s="1"/>
  <c r="BG6" i="8"/>
  <c r="AU109" i="8"/>
  <c r="AP109" i="8"/>
  <c r="AS91" i="8"/>
  <c r="BK15" i="8"/>
  <c r="BJ15" i="8"/>
  <c r="BI15" i="8"/>
  <c r="AS96" i="8" s="1"/>
  <c r="BH15" i="8"/>
  <c r="AS94" i="8" s="1"/>
  <c r="AG117" i="5"/>
  <c r="I14" i="5"/>
  <c r="N14" i="5" s="1"/>
  <c r="J15" i="5"/>
  <c r="K15" i="5"/>
  <c r="L15" i="5"/>
  <c r="M15" i="5"/>
  <c r="G15" i="7"/>
  <c r="F13" i="7"/>
  <c r="G11" i="7"/>
  <c r="H11" i="7" s="1"/>
  <c r="G10" i="7"/>
  <c r="H10" i="7" s="1"/>
  <c r="G9" i="7"/>
  <c r="H9" i="7" s="1"/>
  <c r="G8" i="7"/>
  <c r="H8" i="7" s="1"/>
  <c r="G7" i="7"/>
  <c r="H7" i="7" s="1"/>
  <c r="G6" i="7"/>
  <c r="H6" i="7" s="1"/>
  <c r="G5" i="7"/>
  <c r="H5" i="7" s="1"/>
  <c r="AE42" i="8" l="1"/>
  <c r="U34" i="8"/>
  <c r="X34" i="8"/>
  <c r="AQ94" i="8"/>
  <c r="BB94" i="8"/>
  <c r="AZ94" i="8"/>
  <c r="U33" i="8"/>
  <c r="X33" i="8"/>
  <c r="AZ96" i="8"/>
  <c r="BB96" i="8"/>
  <c r="BC96" i="8" s="1"/>
  <c r="BF102" i="8" s="1"/>
  <c r="L73" i="8"/>
  <c r="AR123" i="8" s="1"/>
  <c r="AR124" i="8" s="1"/>
  <c r="AC25" i="8"/>
  <c r="AE25" i="8" s="1"/>
  <c r="AC35" i="8"/>
  <c r="AE35" i="8" s="1"/>
  <c r="P31" i="8"/>
  <c r="AE31" i="8" s="1"/>
  <c r="W30" i="8"/>
  <c r="AE30" i="8" s="1"/>
  <c r="W37" i="8"/>
  <c r="AE37" i="8" s="1"/>
  <c r="T29" i="8"/>
  <c r="AE29" i="8" s="1"/>
  <c r="Y28" i="8"/>
  <c r="O26" i="8"/>
  <c r="AE26" i="8" s="1"/>
  <c r="O32" i="8"/>
  <c r="AE32" i="8" s="1"/>
  <c r="B85" i="8"/>
  <c r="AB43" i="8"/>
  <c r="AB73" i="8" s="1"/>
  <c r="AS105" i="8" s="1"/>
  <c r="N45" i="8"/>
  <c r="AP110" i="8"/>
  <c r="AP111" i="8" s="1"/>
  <c r="BG15" i="8"/>
  <c r="AR122" i="8" s="1"/>
  <c r="AU110" i="8"/>
  <c r="AU111" i="8" s="1"/>
  <c r="M73" i="8"/>
  <c r="AQ96" i="8"/>
  <c r="AS103" i="8"/>
  <c r="C85" i="8"/>
  <c r="G12" i="7"/>
  <c r="AE34" i="8" l="1"/>
  <c r="Y73" i="8"/>
  <c r="AS102" i="8" s="1"/>
  <c r="AQ102" i="8" s="1"/>
  <c r="AE28" i="8"/>
  <c r="U73" i="8"/>
  <c r="AR117" i="8" s="1"/>
  <c r="AE33" i="8"/>
  <c r="AE43" i="8"/>
  <c r="AR132" i="8"/>
  <c r="AQ105" i="8"/>
  <c r="BB105" i="8"/>
  <c r="BC105" i="8" s="1"/>
  <c r="BG99" i="8" s="1"/>
  <c r="AZ105" i="8"/>
  <c r="AQ103" i="8"/>
  <c r="BB103" i="8"/>
  <c r="BC103" i="8" s="1"/>
  <c r="BG98" i="8" s="1"/>
  <c r="AZ103" i="8"/>
  <c r="O45" i="8"/>
  <c r="AA45" i="8"/>
  <c r="X45" i="8"/>
  <c r="X73" i="8" s="1"/>
  <c r="AS101" i="8" s="1"/>
  <c r="AS108" i="8"/>
  <c r="AQ97" i="8"/>
  <c r="H12" i="7"/>
  <c r="H13" i="7" s="1"/>
  <c r="G13" i="7"/>
  <c r="AR126" i="5"/>
  <c r="J82" i="5"/>
  <c r="K82" i="5" s="1"/>
  <c r="M82" i="5" s="1"/>
  <c r="J83" i="5"/>
  <c r="K83" i="5" s="1"/>
  <c r="J78" i="5"/>
  <c r="K78" i="5" s="1"/>
  <c r="L78" i="5" s="1"/>
  <c r="J81" i="5"/>
  <c r="K81" i="5" s="1"/>
  <c r="M81" i="5" s="1"/>
  <c r="J79" i="5"/>
  <c r="K79" i="5" s="1"/>
  <c r="O79" i="5" s="1"/>
  <c r="J80" i="5"/>
  <c r="K80" i="5" s="1"/>
  <c r="M80" i="5" s="1"/>
  <c r="J76" i="5"/>
  <c r="K76" i="5" s="1"/>
  <c r="M76" i="5" s="1"/>
  <c r="J77" i="5"/>
  <c r="K77" i="5" s="1"/>
  <c r="J75" i="5"/>
  <c r="K75" i="5" s="1"/>
  <c r="AZ146" i="5"/>
  <c r="AZ153" i="5" s="1"/>
  <c r="AZ155" i="5" s="1"/>
  <c r="J74" i="5"/>
  <c r="K74" i="5" s="1"/>
  <c r="J84" i="5"/>
  <c r="K84" i="5" s="1"/>
  <c r="J73" i="5"/>
  <c r="K73" i="5" s="1"/>
  <c r="T73" i="5" s="1"/>
  <c r="J72" i="5"/>
  <c r="K72" i="5" s="1"/>
  <c r="L72" i="5" s="1"/>
  <c r="AT151" i="5"/>
  <c r="AW146" i="5"/>
  <c r="AW145" i="5"/>
  <c r="AW142" i="5"/>
  <c r="AU152" i="5"/>
  <c r="AU153" i="5"/>
  <c r="AU154" i="5"/>
  <c r="AU155" i="5"/>
  <c r="AU156" i="5"/>
  <c r="AU157" i="5"/>
  <c r="AU159" i="5"/>
  <c r="AU160" i="5"/>
  <c r="AU145" i="5"/>
  <c r="AU146" i="5"/>
  <c r="AU147" i="5"/>
  <c r="AU148" i="5"/>
  <c r="AU149" i="5"/>
  <c r="AU141" i="5"/>
  <c r="AS142" i="5"/>
  <c r="AT142" i="5"/>
  <c r="AR142" i="5"/>
  <c r="AE45" i="8" l="1"/>
  <c r="AZ102" i="8"/>
  <c r="BB102" i="8"/>
  <c r="AQ124" i="8"/>
  <c r="BG101" i="8"/>
  <c r="AQ108" i="8"/>
  <c r="AR95" i="8" s="1"/>
  <c r="AZ108" i="8"/>
  <c r="BB108" i="8"/>
  <c r="AQ101" i="8"/>
  <c r="BB101" i="8"/>
  <c r="BC101" i="8" s="1"/>
  <c r="BF103" i="8" s="1"/>
  <c r="BG104" i="8" s="1"/>
  <c r="AZ101" i="8"/>
  <c r="R73" i="8"/>
  <c r="N47" i="8"/>
  <c r="AW150" i="5"/>
  <c r="AW161" i="5" s="1"/>
  <c r="AW162" i="5" s="1"/>
  <c r="AF117" i="5"/>
  <c r="J68" i="5"/>
  <c r="K68" i="5" s="1"/>
  <c r="AH116" i="5"/>
  <c r="I13" i="5"/>
  <c r="N13" i="5" s="1"/>
  <c r="J69" i="5"/>
  <c r="K69" i="5" s="1"/>
  <c r="Q69" i="5" s="1"/>
  <c r="J70" i="5"/>
  <c r="K70" i="5" s="1"/>
  <c r="N70" i="5" s="1"/>
  <c r="J71" i="5"/>
  <c r="K71" i="5" s="1"/>
  <c r="J85" i="5"/>
  <c r="K85" i="5" s="1"/>
  <c r="J67" i="5"/>
  <c r="K67" i="5" s="1"/>
  <c r="N67" i="5" s="1"/>
  <c r="J66" i="5"/>
  <c r="K66" i="5" s="1"/>
  <c r="M66" i="5" s="1"/>
  <c r="J65" i="5"/>
  <c r="K65" i="5" s="1"/>
  <c r="I63" i="5"/>
  <c r="I64" i="5" s="1"/>
  <c r="J64" i="5" s="1"/>
  <c r="AR150" i="5"/>
  <c r="AR161" i="5" s="1"/>
  <c r="AS150" i="5"/>
  <c r="AS161" i="5" s="1"/>
  <c r="AT150" i="5"/>
  <c r="AT161" i="5" s="1"/>
  <c r="AU135" i="5"/>
  <c r="I6" i="5"/>
  <c r="I7" i="5"/>
  <c r="I8" i="5"/>
  <c r="I9" i="5"/>
  <c r="I10" i="5"/>
  <c r="I11" i="5"/>
  <c r="N11" i="5" s="1"/>
  <c r="I12" i="5"/>
  <c r="I5" i="5"/>
  <c r="J61" i="5"/>
  <c r="K61" i="5" s="1"/>
  <c r="J59" i="5"/>
  <c r="K59" i="5" s="1"/>
  <c r="V59" i="5" s="1"/>
  <c r="J53" i="5"/>
  <c r="K53" i="5" s="1"/>
  <c r="V53" i="5" s="1"/>
  <c r="J54" i="5"/>
  <c r="K54" i="5" s="1"/>
  <c r="V54" i="5" s="1"/>
  <c r="J55" i="5"/>
  <c r="K55" i="5" s="1"/>
  <c r="V55" i="5" s="1"/>
  <c r="J56" i="5"/>
  <c r="K56" i="5" s="1"/>
  <c r="V56" i="5" s="1"/>
  <c r="J57" i="5"/>
  <c r="K57" i="5" s="1"/>
  <c r="V57" i="5" s="1"/>
  <c r="J58" i="5"/>
  <c r="K58" i="5" s="1"/>
  <c r="V58" i="5" s="1"/>
  <c r="J60" i="5"/>
  <c r="K60" i="5" s="1"/>
  <c r="V60" i="5" s="1"/>
  <c r="J62" i="5"/>
  <c r="K62" i="5" s="1"/>
  <c r="V62" i="5" s="1"/>
  <c r="AL126" i="5"/>
  <c r="AM126" i="5" s="1"/>
  <c r="AK128" i="5"/>
  <c r="AJ128" i="5"/>
  <c r="AI128" i="5"/>
  <c r="AK117" i="5"/>
  <c r="AJ117" i="5"/>
  <c r="AI117" i="5"/>
  <c r="AO128" i="5"/>
  <c r="AS95" i="8" l="1"/>
  <c r="AR97" i="8"/>
  <c r="BG105" i="8"/>
  <c r="S47" i="8"/>
  <c r="S73" i="8" s="1"/>
  <c r="AR114" i="8" s="1"/>
  <c r="O47" i="8"/>
  <c r="N48" i="8"/>
  <c r="I15" i="5"/>
  <c r="AG116" i="5"/>
  <c r="AQ116" i="5"/>
  <c r="M71" i="5"/>
  <c r="V71" i="5" s="1"/>
  <c r="Q65" i="5"/>
  <c r="V65" i="5" s="1"/>
  <c r="K64" i="5"/>
  <c r="V64" i="5" s="1"/>
  <c r="V61" i="5"/>
  <c r="K63" i="5"/>
  <c r="V63" i="5" s="1"/>
  <c r="J63" i="5"/>
  <c r="AS162" i="5"/>
  <c r="AR162" i="5"/>
  <c r="AT162" i="5"/>
  <c r="AI129" i="5"/>
  <c r="AJ129" i="5"/>
  <c r="AK129" i="5"/>
  <c r="AS97" i="8" l="1"/>
  <c r="AZ95" i="8"/>
  <c r="BB95" i="8"/>
  <c r="AE47" i="8"/>
  <c r="AC48" i="8"/>
  <c r="T48" i="8"/>
  <c r="N49" i="8"/>
  <c r="W49" i="8" s="1"/>
  <c r="AG126" i="5"/>
  <c r="AF128" i="5"/>
  <c r="Q86" i="5"/>
  <c r="Q93" i="5" s="1"/>
  <c r="AH123" i="5" s="1"/>
  <c r="AQ123" i="5" s="1"/>
  <c r="J49" i="5"/>
  <c r="J51" i="5"/>
  <c r="J50" i="5"/>
  <c r="J52" i="5"/>
  <c r="N6" i="5"/>
  <c r="N7" i="5"/>
  <c r="N8" i="5"/>
  <c r="N9" i="5"/>
  <c r="N10" i="5"/>
  <c r="N12" i="5"/>
  <c r="N5" i="5"/>
  <c r="AH113" i="5"/>
  <c r="AQ113" i="5" s="1"/>
  <c r="AH114" i="5"/>
  <c r="AR114" i="5" s="1"/>
  <c r="AH115" i="5"/>
  <c r="AQ115" i="5" s="1"/>
  <c r="T73" i="8" l="1"/>
  <c r="AR116" i="8" s="1"/>
  <c r="AE48" i="8"/>
  <c r="AA49" i="8"/>
  <c r="AA73" i="8" s="1"/>
  <c r="AS104" i="8" s="1"/>
  <c r="N50" i="8"/>
  <c r="AU138" i="5"/>
  <c r="AG114" i="5"/>
  <c r="AU137" i="5"/>
  <c r="AH117" i="5"/>
  <c r="AU140" i="5"/>
  <c r="AG115" i="5"/>
  <c r="AL115" i="5"/>
  <c r="AM115" i="5" s="1"/>
  <c r="AL114" i="5"/>
  <c r="AM114" i="5" s="1"/>
  <c r="AG113" i="5"/>
  <c r="AL113" i="5"/>
  <c r="AM113" i="5" s="1"/>
  <c r="AG123" i="5"/>
  <c r="AL123" i="5"/>
  <c r="AM123" i="5" s="1"/>
  <c r="K49" i="5"/>
  <c r="V49" i="5" s="1"/>
  <c r="K51" i="5"/>
  <c r="N51" i="5" s="1"/>
  <c r="V51" i="5" s="1"/>
  <c r="K50" i="5"/>
  <c r="M50" i="5" s="1"/>
  <c r="V50" i="5" s="1"/>
  <c r="K52" i="5"/>
  <c r="T52" i="5" s="1"/>
  <c r="V52" i="5" s="1"/>
  <c r="V85" i="5"/>
  <c r="J48" i="5"/>
  <c r="K48" i="5" s="1"/>
  <c r="R48" i="5" s="1"/>
  <c r="J40" i="5"/>
  <c r="K40" i="5" s="1"/>
  <c r="V40" i="5" s="1"/>
  <c r="J41" i="5"/>
  <c r="K41" i="5" s="1"/>
  <c r="N41" i="5" s="1"/>
  <c r="V41" i="5" s="1"/>
  <c r="J42" i="5"/>
  <c r="K42" i="5" s="1"/>
  <c r="L42" i="5" s="1"/>
  <c r="V42" i="5" s="1"/>
  <c r="J43" i="5"/>
  <c r="K43" i="5" s="1"/>
  <c r="T43" i="5" s="1"/>
  <c r="V43" i="5" s="1"/>
  <c r="J44" i="5"/>
  <c r="K44" i="5" s="1"/>
  <c r="M44" i="5" s="1"/>
  <c r="V44" i="5" s="1"/>
  <c r="J45" i="5"/>
  <c r="K45" i="5" s="1"/>
  <c r="T45" i="5" s="1"/>
  <c r="V45" i="5" s="1"/>
  <c r="J46" i="5"/>
  <c r="K46" i="5" s="1"/>
  <c r="O46" i="5" s="1"/>
  <c r="V46" i="5" s="1"/>
  <c r="J47" i="5"/>
  <c r="AE49" i="8" l="1"/>
  <c r="AQ104" i="8"/>
  <c r="BB104" i="8"/>
  <c r="AZ104" i="8"/>
  <c r="O50" i="8"/>
  <c r="W50" i="8"/>
  <c r="W73" i="8" s="1"/>
  <c r="AS100" i="8" s="1"/>
  <c r="N51" i="8"/>
  <c r="AE51" i="8" s="1"/>
  <c r="M47" i="5"/>
  <c r="V47" i="5" s="1"/>
  <c r="K47" i="5"/>
  <c r="V48" i="5"/>
  <c r="R86" i="5"/>
  <c r="R93" i="5" s="1"/>
  <c r="AH124" i="5" s="1"/>
  <c r="AR124" i="5" s="1"/>
  <c r="J39" i="5"/>
  <c r="K39" i="5" s="1"/>
  <c r="M39" i="5" s="1"/>
  <c r="V39" i="5" s="1"/>
  <c r="J38" i="5"/>
  <c r="K38" i="5" s="1"/>
  <c r="M38" i="5" s="1"/>
  <c r="V38" i="5" s="1"/>
  <c r="AE50" i="8" l="1"/>
  <c r="AQ100" i="8"/>
  <c r="BB100" i="8"/>
  <c r="AZ100" i="8"/>
  <c r="N52" i="8"/>
  <c r="AG124" i="5"/>
  <c r="AL124" i="5"/>
  <c r="AM124" i="5" s="1"/>
  <c r="J37" i="5"/>
  <c r="K37" i="5" s="1"/>
  <c r="N37" i="5" s="1"/>
  <c r="V37" i="5" s="1"/>
  <c r="AH110" i="5"/>
  <c r="AL110" i="5" s="1"/>
  <c r="AM110" i="5" s="1"/>
  <c r="AO117" i="5"/>
  <c r="AO129" i="5" s="1"/>
  <c r="O52" i="8" l="1"/>
  <c r="N53" i="8"/>
  <c r="Q53" i="8" s="1"/>
  <c r="AO130" i="5"/>
  <c r="Q73" i="8" l="1"/>
  <c r="AR115" i="8" s="1"/>
  <c r="AE53" i="8"/>
  <c r="O73" i="8"/>
  <c r="AS98" i="8" s="1"/>
  <c r="AQ98" i="8" s="1"/>
  <c r="AE52" i="8"/>
  <c r="N54" i="8"/>
  <c r="N55" i="8"/>
  <c r="P55" i="8" s="1"/>
  <c r="AE55" i="8" s="1"/>
  <c r="J36" i="5"/>
  <c r="J35" i="5"/>
  <c r="J34" i="5"/>
  <c r="J33" i="5"/>
  <c r="AZ98" i="8" l="1"/>
  <c r="BB98" i="8"/>
  <c r="AC54" i="8"/>
  <c r="P73" i="8"/>
  <c r="N73" i="8"/>
  <c r="K33" i="5"/>
  <c r="N33" i="5" s="1"/>
  <c r="K34" i="5"/>
  <c r="M34" i="5" s="1"/>
  <c r="V34" i="5" s="1"/>
  <c r="K35" i="5"/>
  <c r="L35" i="5" s="1"/>
  <c r="K36" i="5"/>
  <c r="O36" i="5" s="1"/>
  <c r="V36" i="5" s="1"/>
  <c r="J20" i="5"/>
  <c r="K20" i="5" s="1"/>
  <c r="M20" i="5" s="1"/>
  <c r="V20" i="5" s="1"/>
  <c r="J21" i="5"/>
  <c r="K21" i="5" s="1"/>
  <c r="M21" i="5" s="1"/>
  <c r="V21" i="5" s="1"/>
  <c r="J22" i="5"/>
  <c r="J23" i="5"/>
  <c r="K23" i="5" s="1"/>
  <c r="T23" i="5" s="1"/>
  <c r="J24" i="5"/>
  <c r="K24" i="5" s="1"/>
  <c r="V24" i="5" s="1"/>
  <c r="J25" i="5"/>
  <c r="K25" i="5" s="1"/>
  <c r="V25" i="5" s="1"/>
  <c r="J26" i="5"/>
  <c r="K26" i="5" s="1"/>
  <c r="V26" i="5" s="1"/>
  <c r="J27" i="5"/>
  <c r="K27" i="5" s="1"/>
  <c r="P27" i="5" s="1"/>
  <c r="J28" i="5"/>
  <c r="K28" i="5" s="1"/>
  <c r="O28" i="5" s="1"/>
  <c r="J29" i="5"/>
  <c r="K29" i="5" s="1"/>
  <c r="S29" i="5" s="1"/>
  <c r="J30" i="5"/>
  <c r="K30" i="5" s="1"/>
  <c r="S30" i="5" s="1"/>
  <c r="V30" i="5" s="1"/>
  <c r="J31" i="5"/>
  <c r="K31" i="5" s="1"/>
  <c r="M31" i="5" s="1"/>
  <c r="V31" i="5" s="1"/>
  <c r="J32" i="5"/>
  <c r="K32" i="5" s="1"/>
  <c r="M32" i="5" s="1"/>
  <c r="V32" i="5" s="1"/>
  <c r="J19" i="5"/>
  <c r="K19" i="5" s="1"/>
  <c r="M19" i="5" s="1"/>
  <c r="AC73" i="8" l="1"/>
  <c r="AS106" i="8" s="1"/>
  <c r="AQ106" i="8" s="1"/>
  <c r="AE54" i="8"/>
  <c r="V73" i="8"/>
  <c r="AS99" i="8" s="1"/>
  <c r="AR113" i="8"/>
  <c r="AR118" i="8" s="1"/>
  <c r="K22" i="5"/>
  <c r="M22" i="5" s="1"/>
  <c r="V22" i="5" s="1"/>
  <c r="V33" i="5"/>
  <c r="N86" i="5"/>
  <c r="AH120" i="5" s="1"/>
  <c r="AR120" i="5" s="1"/>
  <c r="O86" i="5"/>
  <c r="O93" i="5" s="1"/>
  <c r="AH121" i="5" s="1"/>
  <c r="AR121" i="5" s="1"/>
  <c r="V29" i="5"/>
  <c r="S86" i="5"/>
  <c r="V28" i="5"/>
  <c r="S93" i="5"/>
  <c r="P86" i="5"/>
  <c r="P93" i="5" s="1"/>
  <c r="AH122" i="5" s="1"/>
  <c r="AR122" i="5" s="1"/>
  <c r="V27" i="5"/>
  <c r="L86" i="5"/>
  <c r="V35" i="5"/>
  <c r="M86" i="5"/>
  <c r="V19" i="5"/>
  <c r="T86" i="5"/>
  <c r="V23" i="5"/>
  <c r="J86" i="5"/>
  <c r="AZ106" i="8" l="1"/>
  <c r="BB106" i="8"/>
  <c r="BB99" i="8"/>
  <c r="AZ99" i="8"/>
  <c r="AE73" i="8"/>
  <c r="AQ99" i="8"/>
  <c r="N93" i="5"/>
  <c r="AG121" i="5"/>
  <c r="AL121" i="5"/>
  <c r="AM121" i="5" s="1"/>
  <c r="AG120" i="5"/>
  <c r="AL120" i="5"/>
  <c r="AM120" i="5" s="1"/>
  <c r="AG122" i="5"/>
  <c r="AL122" i="5"/>
  <c r="AM122" i="5" s="1"/>
  <c r="T93" i="5"/>
  <c r="AH125" i="5" s="1"/>
  <c r="AQ125" i="5" s="1"/>
  <c r="J93" i="5"/>
  <c r="AH119" i="5"/>
  <c r="AQ119" i="5" s="1"/>
  <c r="M93" i="5"/>
  <c r="AH118" i="5"/>
  <c r="AR118" i="5" s="1"/>
  <c r="L93" i="5"/>
  <c r="I86" i="5"/>
  <c r="I93" i="5" s="1"/>
  <c r="G98" i="5"/>
  <c r="K86" i="5"/>
  <c r="C85" i="5"/>
  <c r="C26" i="5"/>
  <c r="C104" i="5" s="1"/>
  <c r="AZ109" i="8" l="1"/>
  <c r="BC99" i="8"/>
  <c r="BB109" i="8"/>
  <c r="AQ127" i="5"/>
  <c r="AL118" i="5"/>
  <c r="AM118" i="5" s="1"/>
  <c r="AL119" i="5"/>
  <c r="AM119" i="5" s="1"/>
  <c r="AM117" i="5"/>
  <c r="AH127" i="5"/>
  <c r="AR127" i="5" s="1"/>
  <c r="AR128" i="5" s="1"/>
  <c r="AQ128" i="5" s="1"/>
  <c r="AG125" i="5"/>
  <c r="AL125" i="5"/>
  <c r="AM125" i="5" s="1"/>
  <c r="AG118" i="5"/>
  <c r="AG119" i="5"/>
  <c r="V86" i="5"/>
  <c r="V93" i="5" s="1"/>
  <c r="K93" i="5"/>
  <c r="I103" i="5"/>
  <c r="B104" i="5"/>
  <c r="I102" i="5" s="1"/>
  <c r="I96" i="5"/>
  <c r="BC109" i="8" l="1"/>
  <c r="AU139" i="5"/>
  <c r="AU144" i="5"/>
  <c r="AU150" i="5" s="1"/>
  <c r="AU151" i="5"/>
  <c r="AM128" i="5"/>
  <c r="AM129" i="5" s="1"/>
  <c r="I104" i="5"/>
  <c r="AH131" i="5" s="1"/>
  <c r="AG127" i="5"/>
  <c r="AG128" i="5" s="1"/>
  <c r="AL127" i="5"/>
  <c r="AL128" i="5" s="1"/>
  <c r="AL117" i="5"/>
  <c r="AH128" i="5"/>
  <c r="I98" i="5"/>
  <c r="AU161" i="5" l="1"/>
  <c r="AU142" i="5"/>
  <c r="AL129" i="5"/>
  <c r="AL130" i="5" s="1"/>
  <c r="AM130" i="5" s="1"/>
  <c r="AF129" i="5"/>
  <c r="AF130" i="5" s="1"/>
  <c r="I105" i="5"/>
  <c r="AH129" i="5"/>
  <c r="AQ129" i="5" s="1"/>
  <c r="AU162" i="5" l="1"/>
  <c r="AU163" i="5" s="1"/>
  <c r="AH130" i="5"/>
  <c r="AG129" i="5"/>
  <c r="AW135" i="5" l="1"/>
  <c r="AW163" i="5" s="1"/>
  <c r="AI110" i="5"/>
  <c r="AI130" i="5" s="1"/>
  <c r="AJ110" i="5" l="1"/>
  <c r="AJ130" i="5" s="1"/>
  <c r="AR163" i="5" l="1"/>
  <c r="AS135" i="5" s="1"/>
  <c r="AS163" i="5" s="1"/>
  <c r="AT135" i="5" s="1"/>
  <c r="AT163" i="5" s="1"/>
  <c r="AK110" i="5"/>
  <c r="AK130" i="5" s="1"/>
  <c r="AQ109" i="8"/>
  <c r="AQ110" i="8" s="1"/>
  <c r="AR107" i="8"/>
  <c r="AS107" i="8" l="1"/>
  <c r="AS109" i="8" s="1"/>
  <c r="AS110" i="8" s="1"/>
  <c r="AR109" i="8"/>
  <c r="BA109" i="8"/>
  <c r="AS111" i="8"/>
  <c r="AS112" i="8" l="1"/>
  <c r="AQ132" i="8"/>
</calcChain>
</file>

<file path=xl/sharedStrings.xml><?xml version="1.0" encoding="utf-8"?>
<sst xmlns="http://schemas.openxmlformats.org/spreadsheetml/2006/main" count="721" uniqueCount="291">
  <si>
    <t>Precept</t>
  </si>
  <si>
    <t>Total income</t>
  </si>
  <si>
    <t>Net result</t>
  </si>
  <si>
    <t>Balance c/fwd</t>
  </si>
  <si>
    <t>Insurance</t>
  </si>
  <si>
    <t>Contingency</t>
  </si>
  <si>
    <t>Staff costs (incl payroll mgt fees)</t>
  </si>
  <si>
    <t>Meeting costs (incl Zoom fees)</t>
  </si>
  <si>
    <t>Bank Statement balance</t>
  </si>
  <si>
    <t>Chq no</t>
  </si>
  <si>
    <t>EXPENSES</t>
  </si>
  <si>
    <t>BALANCE BROUGHT FORWARD</t>
  </si>
  <si>
    <t>BALANCE CARRIED FORWARD</t>
  </si>
  <si>
    <t>BEAULIEU PARISH COUNCIL</t>
  </si>
  <si>
    <t>Reconciled bank balance</t>
  </si>
  <si>
    <t>HCC</t>
  </si>
  <si>
    <t>Outstanding cheques</t>
  </si>
  <si>
    <t>Oustanding cheques</t>
  </si>
  <si>
    <t>Non-credited Banking</t>
  </si>
  <si>
    <t>Income &amp; Expenditure Account</t>
  </si>
  <si>
    <t>20212/23 CASHBOOK SUMMARY</t>
  </si>
  <si>
    <t>INCOME:</t>
  </si>
  <si>
    <t>BANK RECONCILATION</t>
  </si>
  <si>
    <t>CASH SURPLUS / (DEFICIT) FOR THE PERIOD</t>
  </si>
  <si>
    <t>B/FWD OUTSTANDING CHEQUES</t>
  </si>
  <si>
    <t>Central Southern Security - CCTV maintenance</t>
  </si>
  <si>
    <t>Westbeam - Playground repairs</t>
  </si>
  <si>
    <t>Sawscapes - Playground inspection</t>
  </si>
  <si>
    <t>Non-credited bankings</t>
  </si>
  <si>
    <t>Mark Grindrod - ink cartridges</t>
  </si>
  <si>
    <t>Gary Boulton</t>
  </si>
  <si>
    <t>Sawscapes - Playground repairs</t>
  </si>
  <si>
    <t>Cancelled</t>
  </si>
  <si>
    <t>BHIB - insurance</t>
  </si>
  <si>
    <t>K&amp;N Finishers</t>
  </si>
  <si>
    <t>Robert Knight (reissued cheque)</t>
  </si>
  <si>
    <t>cancelled cheque (out of date)</t>
  </si>
  <si>
    <t>Beaulieu Twinning Association</t>
  </si>
  <si>
    <t>Paul Nicholas</t>
  </si>
  <si>
    <t>Ian Maiden</t>
  </si>
  <si>
    <t>HMRC - VAT refund</t>
  </si>
  <si>
    <t>Paul Deakin - playground checks / gardening</t>
  </si>
  <si>
    <t>Receipts for Twinning bench</t>
  </si>
  <si>
    <t>Asset management costs</t>
  </si>
  <si>
    <t>Councillor training</t>
  </si>
  <si>
    <t>s. 137 costs</t>
  </si>
  <si>
    <t>Meeting costs</t>
  </si>
  <si>
    <t>All other costs</t>
  </si>
  <si>
    <t>VAT</t>
  </si>
  <si>
    <t>Y</t>
  </si>
  <si>
    <t>Recoverable VAT</t>
  </si>
  <si>
    <t>Total costs</t>
  </si>
  <si>
    <t>John Hackman</t>
  </si>
  <si>
    <t>BVHT</t>
  </si>
  <si>
    <t>Nicky Deering</t>
  </si>
  <si>
    <t>Solent Fencing</t>
  </si>
  <si>
    <t>New assets</t>
  </si>
  <si>
    <t>Sara Steele - Ukranian flag</t>
  </si>
  <si>
    <t>VAT ?</t>
  </si>
  <si>
    <t>Ashdown Software</t>
  </si>
  <si>
    <t>Beaulieu Settled Estate</t>
  </si>
  <si>
    <t>y</t>
  </si>
  <si>
    <t>Royal British Legion</t>
  </si>
  <si>
    <t>DD</t>
  </si>
  <si>
    <t>Information Commission</t>
  </si>
  <si>
    <t>Cancelled / Reissued cheque</t>
  </si>
  <si>
    <t>Mrs N Deering - salary</t>
  </si>
  <si>
    <t>Mrs N Deering - stamps</t>
  </si>
  <si>
    <t>New Assets</t>
  </si>
  <si>
    <t>Section 137 expenditure</t>
  </si>
  <si>
    <t>VAT Receipts</t>
  </si>
  <si>
    <t>Donations for Jubilee bench</t>
  </si>
  <si>
    <t>Check</t>
  </si>
  <si>
    <t>Total</t>
  </si>
  <si>
    <t>Total payment</t>
  </si>
  <si>
    <t>Payment excl VAT</t>
  </si>
  <si>
    <t>VAT refunds received (incl for 2021/22)</t>
  </si>
  <si>
    <t>Jan</t>
  </si>
  <si>
    <t>Feb</t>
  </si>
  <si>
    <t>Mar</t>
  </si>
  <si>
    <t>Full Year Forecast</t>
  </si>
  <si>
    <t>Variance to Budget</t>
  </si>
  <si>
    <t>FORECAST</t>
  </si>
  <si>
    <t>Mrs N Deering - ink cartridges</t>
  </si>
  <si>
    <t>Platsafety Ltd</t>
  </si>
  <si>
    <t>Trevor Smith</t>
  </si>
  <si>
    <t>check invoice - is this Village Website?</t>
  </si>
  <si>
    <t>Cllr. Sara Steele</t>
  </si>
  <si>
    <r>
      <rPr>
        <vertAlign val="superscript"/>
        <sz val="9"/>
        <color theme="1"/>
        <rFont val="Calibri (Body)"/>
      </rPr>
      <t>1</t>
    </r>
    <r>
      <rPr>
        <sz val="9"/>
        <color theme="1"/>
        <rFont val="Calibri"/>
        <family val="2"/>
        <scheme val="minor"/>
      </rPr>
      <t xml:space="preserve"> Budget agreed after I April 2022 so Actual bank balance used</t>
    </r>
  </si>
  <si>
    <r>
      <t xml:space="preserve">Budgeted bank balance b/fwd as at 1 April 2022 </t>
    </r>
    <r>
      <rPr>
        <b/>
        <vertAlign val="superscript"/>
        <sz val="12"/>
        <color theme="1"/>
        <rFont val="Calibri (Body)"/>
      </rPr>
      <t>1</t>
    </r>
  </si>
  <si>
    <t>AGREED ANNUAL BUDGET</t>
  </si>
  <si>
    <t>Reconciled bank balance b/fwd</t>
  </si>
  <si>
    <t>[Name redacted at donor's request]</t>
  </si>
  <si>
    <t>Email on Clerk's file</t>
  </si>
  <si>
    <t>New transactions</t>
  </si>
  <si>
    <t>Gardening &amp; Safety checks</t>
  </si>
  <si>
    <t xml:space="preserve">Defibrilator training </t>
  </si>
  <si>
    <t>CCTV maintenance</t>
  </si>
  <si>
    <t>Twinning Garden maintenance / refurbishment  (50% share)</t>
  </si>
  <si>
    <t>Sub-total</t>
  </si>
  <si>
    <t>Playsafety Ltd - replacement cheque</t>
  </si>
  <si>
    <t>Playsefety cheque lost in post -cancelled</t>
  </si>
  <si>
    <t>HALC - councillor training</t>
  </si>
  <si>
    <t>Grants received</t>
  </si>
  <si>
    <t>Campaign to Protect …..</t>
  </si>
  <si>
    <t>HCC Grant received</t>
  </si>
  <si>
    <t>HCC grant received</t>
  </si>
  <si>
    <t>2022/23</t>
  </si>
  <si>
    <t>2023/24 Approved budget</t>
  </si>
  <si>
    <t>Asset repairs and re-lifing</t>
  </si>
  <si>
    <t>May 2023 election costs</t>
  </si>
  <si>
    <t>Asset management costs:</t>
  </si>
  <si>
    <t>est as at 13 Feb 23</t>
  </si>
  <si>
    <t>Bank balance b/fwd</t>
  </si>
  <si>
    <t>March (Estimated)</t>
  </si>
  <si>
    <t>February Report</t>
  </si>
  <si>
    <t>Cum as at January Report</t>
  </si>
  <si>
    <t>Back Office</t>
  </si>
  <si>
    <t>N R Hubbard - 2023 Coronation flag reimbursement</t>
  </si>
  <si>
    <t>Christopher Fairweather Ltd</t>
  </si>
  <si>
    <t xml:space="preserve">               </t>
  </si>
  <si>
    <t>3D Farming Partnership</t>
  </si>
  <si>
    <t>Playsafety Ltd</t>
  </si>
  <si>
    <t>reverse CCTV VAT on cancelled payment</t>
  </si>
  <si>
    <t>HMRC - Year end VAT refund due</t>
  </si>
  <si>
    <t>As per April 2023 Council Report</t>
  </si>
  <si>
    <t>12 Months to 31 March 2023</t>
  </si>
  <si>
    <t>As per March 2023 Council Report</t>
  </si>
  <si>
    <t>VAT refunds received / receivable (incl for 2021/22)</t>
  </si>
  <si>
    <t>Date</t>
  </si>
  <si>
    <t>INCOME</t>
  </si>
  <si>
    <t>HALC</t>
  </si>
  <si>
    <t>New Forest Disability</t>
  </si>
  <si>
    <t>NFDC</t>
  </si>
  <si>
    <t>NFDC Precept</t>
  </si>
  <si>
    <t>Gardening &amp; Safety Checks</t>
  </si>
  <si>
    <t>May 23 local election costs</t>
  </si>
  <si>
    <t>VAT refunds</t>
  </si>
  <si>
    <t>VAT Refunds</t>
  </si>
  <si>
    <t>Budgeted bank balance b/fwd as at 1 April 2023</t>
  </si>
  <si>
    <t>Reconciled bank balance b/fwd as at 1 April 2023</t>
  </si>
  <si>
    <t>Clerk - stamps</t>
  </si>
  <si>
    <t>BHIB</t>
  </si>
  <si>
    <t>HMRC - VAT (NB: £367.80 receipt was accrued into last year)</t>
  </si>
  <si>
    <t>Playsafety</t>
  </si>
  <si>
    <t>Paul Deakin</t>
  </si>
  <si>
    <t>Central Southern Security</t>
  </si>
  <si>
    <t>CCTV</t>
  </si>
  <si>
    <t>RoSPA</t>
  </si>
  <si>
    <t>Analysis</t>
  </si>
  <si>
    <t>Playing Field maintenance</t>
  </si>
  <si>
    <t>Playground maintenance</t>
  </si>
  <si>
    <t>Yes</t>
  </si>
  <si>
    <t>No</t>
  </si>
  <si>
    <t>CANCELLED</t>
  </si>
  <si>
    <t>Royal Britisg Legion</t>
  </si>
  <si>
    <t>CCTV (before grant)</t>
  </si>
  <si>
    <t>AGREED  FULL YEAR 2023/24 BUDGET</t>
  </si>
  <si>
    <t xml:space="preserve">HMRC - VAT </t>
  </si>
  <si>
    <t>amount due</t>
  </si>
  <si>
    <t>amount received</t>
  </si>
  <si>
    <t>Difference</t>
  </si>
  <si>
    <t>Cleared by bank</t>
  </si>
  <si>
    <t>VAT adj from last year</t>
  </si>
  <si>
    <t>Grant for CCTV</t>
  </si>
  <si>
    <t>Campaign to Ptotect …</t>
  </si>
  <si>
    <r>
      <t xml:space="preserve">Paul Deakin </t>
    </r>
    <r>
      <rPr>
        <sz val="12"/>
        <rFont val="Calibri (Body)"/>
      </rPr>
      <t>CANCELLED</t>
    </r>
  </si>
  <si>
    <t>Transactions in the period</t>
  </si>
  <si>
    <t xml:space="preserve">Bank balance c/fwd </t>
  </si>
  <si>
    <t>Play area Gardening &amp; Safety Checks</t>
  </si>
  <si>
    <t>Twinning Garden costs (50% share)</t>
  </si>
  <si>
    <t>Play area maintenance</t>
  </si>
  <si>
    <t>FULL YEAR 2023/24 FORECAST OUTTURN</t>
  </si>
  <si>
    <t>Nick Hubbard</t>
  </si>
  <si>
    <t>Infinity Playgrounds</t>
  </si>
  <si>
    <t>INPUT PERMITTED ONLY IN BLUE AREAS</t>
  </si>
  <si>
    <t>BVHT CANCELLED</t>
  </si>
  <si>
    <t>Litter bin collection</t>
  </si>
  <si>
    <t>Police &amp; Crime Commissioner</t>
  </si>
  <si>
    <t>Prepayment for 2024/25</t>
  </si>
  <si>
    <t>Prepayment for 2024/24</t>
  </si>
  <si>
    <t>VAT debtor</t>
  </si>
  <si>
    <t>As per February Report</t>
  </si>
  <si>
    <t>Full Year Result</t>
  </si>
  <si>
    <t>Reconciled reserves balance</t>
  </si>
  <si>
    <t>ASSET MANAGEMNENT COSTS</t>
  </si>
  <si>
    <t>Variance to FYF</t>
  </si>
  <si>
    <t>Variance to budget</t>
  </si>
  <si>
    <t>Total expenditure</t>
  </si>
  <si>
    <t>2023/24 BUDGET</t>
  </si>
  <si>
    <t>2023/24 ACTUAL</t>
  </si>
  <si>
    <t>2022/23 VARIANCE (ADV)/FAV</t>
  </si>
  <si>
    <t>Cash balance brought forward (Actual)</t>
  </si>
  <si>
    <t>Cash balance brought forward (Estimated)</t>
  </si>
  <si>
    <t xml:space="preserve">Precept </t>
  </si>
  <si>
    <t>Total Income</t>
  </si>
  <si>
    <t>Staff costs</t>
  </si>
  <si>
    <t>Asset management</t>
  </si>
  <si>
    <t>Administration costs</t>
  </si>
  <si>
    <t>Section 137 costs</t>
  </si>
  <si>
    <t>New assets (net of grants and donations)</t>
  </si>
  <si>
    <t>Total Expenses</t>
  </si>
  <si>
    <t>(Deficit) for the year</t>
  </si>
  <si>
    <t>Cash balance carried forward (Estimated)</t>
  </si>
  <si>
    <t>Number of Households</t>
  </si>
  <si>
    <t>Average precept per Household</t>
  </si>
  <si>
    <t>Increase in Band D Rates</t>
  </si>
  <si>
    <t>Per month</t>
  </si>
  <si>
    <t>VARIANCE</t>
  </si>
  <si>
    <t>Clerk's salary</t>
  </si>
  <si>
    <t>NI</t>
  </si>
  <si>
    <t>Payroll costs</t>
  </si>
  <si>
    <t>Asset Management</t>
  </si>
  <si>
    <t>Playground / Playingfield repairs</t>
  </si>
  <si>
    <t>RoSPA report</t>
  </si>
  <si>
    <t>Replacement laptop for website support</t>
  </si>
  <si>
    <t>Defibrillator maintenance</t>
  </si>
  <si>
    <t>NFDC Grant towards Twinning Garden refurbishment forwarded to BTA</t>
  </si>
  <si>
    <t>Room hire</t>
  </si>
  <si>
    <t>NFDC - GIS partnership</t>
  </si>
  <si>
    <t>BPC website costs</t>
  </si>
  <si>
    <t>HALC fees</t>
  </si>
  <si>
    <t>Council training</t>
  </si>
  <si>
    <t>Other costs</t>
  </si>
  <si>
    <t>Remembrance wreath</t>
  </si>
  <si>
    <t>Nerw Assets</t>
  </si>
  <si>
    <t>Less: Grants and donations</t>
  </si>
  <si>
    <t>Assumed increase pa:</t>
  </si>
  <si>
    <t>up to 2025/26</t>
  </si>
  <si>
    <t>New litter bins</t>
  </si>
  <si>
    <t>SCENARIO 1</t>
  </si>
  <si>
    <t>2023/24</t>
  </si>
  <si>
    <t>2024/25</t>
  </si>
  <si>
    <t>2025/26</t>
  </si>
  <si>
    <t>2026/27</t>
  </si>
  <si>
    <t>2027/28</t>
  </si>
  <si>
    <t>Assumptions:</t>
  </si>
  <si>
    <t>Increase Precept by £3,000 to 2025/26</t>
  </si>
  <si>
    <t>Expenses excl election costs</t>
  </si>
  <si>
    <t>2023/24 budget £14,975 excl election costs</t>
  </si>
  <si>
    <t>Election costs</t>
  </si>
  <si>
    <t xml:space="preserve"> Hold cash reserves in range of £7,000 - £8,000</t>
  </si>
  <si>
    <t>(Deficit) / Surplus</t>
  </si>
  <si>
    <t>Inflation assumed at 4.0%</t>
  </si>
  <si>
    <t>Estimated closing cash reserves</t>
  </si>
  <si>
    <t>Household numbers remain at 518.2</t>
  </si>
  <si>
    <t>Est annual increase for Rate D household</t>
  </si>
  <si>
    <t>Est cash reserve cover (as % of Precept)</t>
  </si>
  <si>
    <t>SCENARIO 2</t>
  </si>
  <si>
    <t>Increase Precept by £2,000 to 2027/28</t>
  </si>
  <si>
    <t>SCENARIO 3</t>
  </si>
  <si>
    <t>2023/24 budget £13,975 excl election costs</t>
  </si>
  <si>
    <t>SCENARIO 4</t>
  </si>
  <si>
    <t>Increase Precept to hold minimum closing cash reserve of £10,000</t>
  </si>
  <si>
    <t>SCENARIO 5</t>
  </si>
  <si>
    <t>2022/23 ACTUAL</t>
  </si>
  <si>
    <t>New Forest District Council</t>
  </si>
  <si>
    <t>Hampshire County Council</t>
  </si>
  <si>
    <t>Police and crime commissioner for Hampshire</t>
  </si>
  <si>
    <t>Hampsire and IOW Fire Authority</t>
  </si>
  <si>
    <t>Beaulieu Parish Council</t>
  </si>
  <si>
    <t>Average per Property (tax base: 518.2 properties)</t>
  </si>
  <si>
    <t>TOTAL BAND D RATES</t>
  </si>
  <si>
    <t xml:space="preserve">2023/24 BPC Recommended Precept </t>
  </si>
  <si>
    <t>Average per Property (tax base: 516.0 properties)</t>
  </si>
  <si>
    <t>Increase in Precept per Rate D Household</t>
  </si>
  <si>
    <t>New Forest Disability grant</t>
  </si>
  <si>
    <t>Police &amp; Crime Commissioner grant</t>
  </si>
  <si>
    <t>2023/24 VARIANCE ANALYSIS</t>
  </si>
  <si>
    <t>Playground / Playing Field re-lifing</t>
  </si>
  <si>
    <t>Unused contingency / other savings</t>
  </si>
  <si>
    <t>Defib maintenance &amp; training</t>
  </si>
  <si>
    <t>New CCTV (in excess of repair budget)</t>
  </si>
  <si>
    <t>Play area gardening / repairs / re-lifing</t>
  </si>
  <si>
    <t>TG maintenance</t>
  </si>
  <si>
    <t xml:space="preserve">2023/24 Key Full Year Variances </t>
  </si>
  <si>
    <t>Net underspend</t>
  </si>
  <si>
    <t>2023/24 CASH BOOK</t>
  </si>
  <si>
    <t>Twinning Garden costs</t>
  </si>
  <si>
    <t>Uncleared cheques</t>
  </si>
  <si>
    <t>Receipts</t>
  </si>
  <si>
    <t>Payments</t>
  </si>
  <si>
    <t>Bank and Reserves Reconciliation</t>
  </si>
  <si>
    <t>Opening Cash Book balance</t>
  </si>
  <si>
    <t>Reconciled closing bank balance</t>
  </si>
  <si>
    <t>Closing cash book balance</t>
  </si>
  <si>
    <t>Accruals</t>
  </si>
  <si>
    <t>Other income</t>
  </si>
  <si>
    <t xml:space="preserve">Grants </t>
  </si>
  <si>
    <t>Doc Ref</t>
  </si>
  <si>
    <t>12 Months to 31 March 2024
FULL YEAR ACTUALS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</si>
</sst>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_);[Red]\(&quot;£&quot;#,##0\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-[$£-809]* #,##0.00_-;\-[$£-809]* #,##0.00_-;_-[$£-809]* &quot;-&quot;??_-;_-@_-"/>
    <numFmt numFmtId="167" formatCode="&quot;£&quot;#,##0.00"/>
    <numFmt numFmtId="168" formatCode="0.0%"/>
  </numFmts>
  <fonts count="42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b/>
      <vertAlign val="superscript"/>
      <sz val="12"/>
      <color theme="1"/>
      <name val="Calibri (Body)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 (Body)"/>
    </font>
    <font>
      <sz val="12"/>
      <color theme="9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theme="4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trike/>
      <sz val="12"/>
      <name val="Calibri"/>
      <family val="2"/>
      <scheme val="minor"/>
    </font>
    <font>
      <b/>
      <strike/>
      <sz val="12"/>
      <color theme="4"/>
      <name val="Calibri"/>
      <family val="2"/>
      <scheme val="minor"/>
    </font>
    <font>
      <b/>
      <strike/>
      <sz val="12"/>
      <color theme="1"/>
      <name val="Calibri"/>
      <family val="2"/>
      <scheme val="minor"/>
    </font>
    <font>
      <sz val="12"/>
      <name val="Calibri (Body)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slantDashDot">
        <color theme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8" tint="-0.24994659260841701"/>
      </left>
      <right/>
      <top style="thick">
        <color theme="8" tint="-0.24994659260841701"/>
      </top>
      <bottom/>
      <diagonal/>
    </border>
    <border>
      <left/>
      <right style="thick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/>
      <top/>
      <bottom/>
      <diagonal/>
    </border>
    <border>
      <left/>
      <right style="thick">
        <color theme="8" tint="-0.24994659260841701"/>
      </right>
      <top/>
      <bottom/>
      <diagonal/>
    </border>
    <border>
      <left style="thick">
        <color theme="8" tint="-0.24994659260841701"/>
      </left>
      <right/>
      <top/>
      <bottom style="thin">
        <color indexed="64"/>
      </bottom>
      <diagonal/>
    </border>
    <border>
      <left style="thick">
        <color theme="8" tint="-0.24994659260841701"/>
      </left>
      <right/>
      <top style="thin">
        <color indexed="64"/>
      </top>
      <bottom style="thin">
        <color indexed="64"/>
      </bottom>
      <diagonal/>
    </border>
    <border>
      <left style="thick">
        <color theme="8" tint="-0.24994659260841701"/>
      </left>
      <right style="medium">
        <color indexed="64"/>
      </right>
      <top style="medium">
        <color indexed="64"/>
      </top>
      <bottom/>
      <diagonal/>
    </border>
    <border>
      <left style="thick">
        <color theme="8" tint="-0.24994659260841701"/>
      </left>
      <right style="medium">
        <color indexed="64"/>
      </right>
      <top/>
      <bottom/>
      <diagonal/>
    </border>
    <border>
      <left style="thick">
        <color theme="8" tint="-0.24994659260841701"/>
      </left>
      <right style="medium">
        <color indexed="64"/>
      </right>
      <top/>
      <bottom style="medium">
        <color indexed="64"/>
      </bottom>
      <diagonal/>
    </border>
    <border>
      <left style="thick">
        <color theme="8" tint="-0.24994659260841701"/>
      </left>
      <right/>
      <top/>
      <bottom style="thick">
        <color theme="8" tint="-0.24994659260841701"/>
      </bottom>
      <diagonal/>
    </border>
    <border>
      <left/>
      <right style="thick">
        <color theme="8" tint="-0.24994659260841701"/>
      </right>
      <top/>
      <bottom style="thick">
        <color theme="8" tint="-0.2499465926084170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/>
      <top/>
      <bottom style="thick">
        <color theme="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theme="8"/>
      </left>
      <right/>
      <top style="thick">
        <color theme="8"/>
      </top>
      <bottom/>
      <diagonal/>
    </border>
    <border>
      <left/>
      <right/>
      <top style="thick">
        <color theme="8"/>
      </top>
      <bottom/>
      <diagonal/>
    </border>
    <border>
      <left/>
      <right style="thick">
        <color theme="8"/>
      </right>
      <top style="thick">
        <color theme="8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theme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theme="8"/>
      </right>
      <top/>
      <bottom/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theme="8"/>
      </left>
      <right/>
      <top/>
      <bottom style="thick">
        <color theme="8"/>
      </bottom>
      <diagonal/>
    </border>
    <border>
      <left/>
      <right/>
      <top/>
      <bottom style="thick">
        <color theme="8"/>
      </bottom>
      <diagonal/>
    </border>
    <border>
      <left/>
      <right style="thick">
        <color theme="8"/>
      </right>
      <top/>
      <bottom style="thick">
        <color theme="8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thick">
        <color theme="4"/>
      </left>
      <right/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/>
      <right style="thick">
        <color theme="4"/>
      </right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indexed="64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indexed="64"/>
      </top>
      <bottom/>
      <diagonal/>
    </border>
    <border>
      <left/>
      <right style="thick">
        <color theme="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rgb="FF0070C0"/>
      </left>
      <right/>
      <top style="thin">
        <color indexed="64"/>
      </top>
      <bottom style="medium">
        <color indexed="64"/>
      </bottom>
      <diagonal/>
    </border>
    <border>
      <left/>
      <right style="thick">
        <color rgb="FF0070C0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72">
    <xf numFmtId="0" fontId="0" fillId="0" borderId="0" xfId="0"/>
    <xf numFmtId="0" fontId="5" fillId="0" borderId="0" xfId="0" applyFont="1" applyAlignment="1">
      <alignment vertical="center"/>
    </xf>
    <xf numFmtId="164" fontId="0" fillId="0" borderId="0" xfId="1" applyNumberFormat="1" applyFont="1" applyAlignment="1">
      <alignment horizontal="right"/>
    </xf>
    <xf numFmtId="164" fontId="5" fillId="0" borderId="1" xfId="1" applyNumberFormat="1" applyFont="1" applyBorder="1" applyAlignment="1">
      <alignment horizontal="right" vertical="center"/>
    </xf>
    <xf numFmtId="164" fontId="5" fillId="0" borderId="4" xfId="1" applyNumberFormat="1" applyFont="1" applyBorder="1" applyAlignment="1">
      <alignment horizontal="right" vertical="center"/>
    </xf>
    <xf numFmtId="0" fontId="5" fillId="0" borderId="0" xfId="0" applyFont="1"/>
    <xf numFmtId="15" fontId="0" fillId="0" borderId="0" xfId="0" applyNumberFormat="1"/>
    <xf numFmtId="43" fontId="0" fillId="0" borderId="0" xfId="1" applyFont="1" applyAlignment="1">
      <alignment horizontal="right"/>
    </xf>
    <xf numFmtId="0" fontId="10" fillId="0" borderId="0" xfId="0" applyFont="1"/>
    <xf numFmtId="43" fontId="0" fillId="0" borderId="0" xfId="1" applyFont="1" applyBorder="1" applyAlignment="1">
      <alignment horizontal="right"/>
    </xf>
    <xf numFmtId="164" fontId="5" fillId="0" borderId="0" xfId="1" applyNumberFormat="1" applyFont="1" applyAlignment="1">
      <alignment horizontal="right"/>
    </xf>
    <xf numFmtId="43" fontId="5" fillId="0" borderId="0" xfId="1" applyFont="1" applyAlignment="1">
      <alignment horizontal="right"/>
    </xf>
    <xf numFmtId="164" fontId="5" fillId="0" borderId="0" xfId="1" applyNumberFormat="1" applyFont="1" applyBorder="1" applyAlignment="1">
      <alignment horizontal="right" vertical="top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3" fillId="0" borderId="0" xfId="1" applyNumberFormat="1" applyFont="1" applyAlignment="1">
      <alignment horizontal="right" wrapText="1"/>
    </xf>
    <xf numFmtId="43" fontId="1" fillId="0" borderId="0" xfId="1" applyFont="1" applyAlignment="1">
      <alignment horizontal="right"/>
    </xf>
    <xf numFmtId="43" fontId="1" fillId="0" borderId="0" xfId="1" applyFont="1" applyAlignment="1">
      <alignment horizontal="right" wrapText="1"/>
    </xf>
    <xf numFmtId="43" fontId="7" fillId="0" borderId="0" xfId="1" applyFont="1" applyAlignment="1">
      <alignment horizontal="right" vertical="center"/>
    </xf>
    <xf numFmtId="43" fontId="7" fillId="0" borderId="0" xfId="1" applyFont="1" applyAlignment="1">
      <alignment horizontal="right"/>
    </xf>
    <xf numFmtId="43" fontId="7" fillId="0" borderId="6" xfId="1" applyFont="1" applyBorder="1" applyAlignment="1">
      <alignment vertical="center"/>
    </xf>
    <xf numFmtId="0" fontId="2" fillId="0" borderId="0" xfId="1" applyNumberFormat="1" applyFont="1"/>
    <xf numFmtId="0" fontId="3" fillId="0" borderId="0" xfId="1" applyNumberFormat="1" applyFont="1" applyBorder="1" applyAlignment="1">
      <alignment vertical="center"/>
    </xf>
    <xf numFmtId="0" fontId="3" fillId="0" borderId="0" xfId="1" applyNumberFormat="1" applyFont="1" applyAlignment="1">
      <alignment wrapText="1"/>
    </xf>
    <xf numFmtId="0" fontId="2" fillId="0" borderId="0" xfId="1" applyNumberFormat="1" applyFont="1" applyAlignment="1">
      <alignment horizontal="right"/>
    </xf>
    <xf numFmtId="0" fontId="2" fillId="0" borderId="0" xfId="0" applyFont="1"/>
    <xf numFmtId="0" fontId="3" fillId="0" borderId="0" xfId="1" applyNumberFormat="1" applyFont="1"/>
    <xf numFmtId="14" fontId="3" fillId="0" borderId="0" xfId="1" applyNumberFormat="1" applyFont="1"/>
    <xf numFmtId="2" fontId="0" fillId="0" borderId="0" xfId="1" applyNumberFormat="1" applyFont="1" applyAlignment="1">
      <alignment horizontal="right"/>
    </xf>
    <xf numFmtId="2" fontId="5" fillId="0" borderId="0" xfId="1" applyNumberFormat="1" applyFont="1" applyAlignment="1">
      <alignment horizontal="right"/>
    </xf>
    <xf numFmtId="2" fontId="0" fillId="0" borderId="0" xfId="1" applyNumberFormat="1" applyFont="1" applyBorder="1" applyAlignment="1">
      <alignment horizontal="right"/>
    </xf>
    <xf numFmtId="2" fontId="5" fillId="0" borderId="0" xfId="1" applyNumberFormat="1" applyFont="1" applyBorder="1" applyAlignment="1">
      <alignment horizontal="right" vertical="top"/>
    </xf>
    <xf numFmtId="2" fontId="5" fillId="0" borderId="2" xfId="1" applyNumberFormat="1" applyFont="1" applyBorder="1" applyAlignment="1">
      <alignment vertical="center"/>
    </xf>
    <xf numFmtId="2" fontId="5" fillId="0" borderId="4" xfId="1" applyNumberFormat="1" applyFont="1" applyBorder="1" applyAlignment="1">
      <alignment horizontal="right"/>
    </xf>
    <xf numFmtId="2" fontId="4" fillId="0" borderId="0" xfId="1" applyNumberFormat="1" applyFont="1" applyAlignment="1">
      <alignment horizontal="right"/>
    </xf>
    <xf numFmtId="2" fontId="11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164" fontId="4" fillId="0" borderId="1" xfId="1" applyNumberFormat="1" applyFont="1" applyBorder="1" applyAlignment="1">
      <alignment horizontal="right" vertical="center"/>
    </xf>
    <xf numFmtId="164" fontId="4" fillId="0" borderId="0" xfId="1" applyNumberFormat="1" applyFont="1" applyAlignment="1">
      <alignment horizontal="right"/>
    </xf>
    <xf numFmtId="164" fontId="4" fillId="0" borderId="0" xfId="1" applyNumberFormat="1" applyFont="1"/>
    <xf numFmtId="164" fontId="4" fillId="0" borderId="3" xfId="1" applyNumberFormat="1" applyFont="1" applyBorder="1" applyAlignment="1">
      <alignment horizontal="right" vertical="center"/>
    </xf>
    <xf numFmtId="2" fontId="1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center" vertical="center"/>
    </xf>
    <xf numFmtId="43" fontId="11" fillId="0" borderId="0" xfId="1" applyFont="1" applyBorder="1" applyAlignment="1">
      <alignment horizontal="right" vertical="center"/>
    </xf>
    <xf numFmtId="164" fontId="11" fillId="0" borderId="0" xfId="1" applyNumberFormat="1" applyFont="1" applyBorder="1" applyAlignment="1">
      <alignment horizontal="right" vertical="center"/>
    </xf>
    <xf numFmtId="43" fontId="0" fillId="0" borderId="0" xfId="1" applyFont="1" applyFill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2" fontId="2" fillId="0" borderId="0" xfId="1" applyNumberFormat="1" applyFont="1" applyAlignment="1">
      <alignment horizontal="right"/>
    </xf>
    <xf numFmtId="43" fontId="0" fillId="0" borderId="0" xfId="0" applyNumberFormat="1"/>
    <xf numFmtId="0" fontId="0" fillId="0" borderId="0" xfId="0" applyAlignment="1">
      <alignment horizontal="right" wrapText="1"/>
    </xf>
    <xf numFmtId="2" fontId="5" fillId="0" borderId="0" xfId="1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43" fontId="0" fillId="0" borderId="0" xfId="1" applyFont="1"/>
    <xf numFmtId="43" fontId="4" fillId="0" borderId="0" xfId="1" applyFont="1" applyFill="1" applyAlignment="1">
      <alignment horizontal="right"/>
    </xf>
    <xf numFmtId="43" fontId="0" fillId="0" borderId="3" xfId="1" applyFont="1" applyBorder="1" applyAlignment="1">
      <alignment horizontal="right"/>
    </xf>
    <xf numFmtId="0" fontId="15" fillId="0" borderId="0" xfId="0" applyFont="1" applyAlignment="1">
      <alignment horizontal="right" wrapText="1"/>
    </xf>
    <xf numFmtId="0" fontId="16" fillId="0" borderId="0" xfId="0" applyFont="1"/>
    <xf numFmtId="2" fontId="16" fillId="0" borderId="0" xfId="0" applyNumberFormat="1" applyFont="1"/>
    <xf numFmtId="0" fontId="2" fillId="0" borderId="0" xfId="1" applyNumberFormat="1" applyFont="1" applyAlignment="1">
      <alignment horizontal="right" wrapText="1"/>
    </xf>
    <xf numFmtId="0" fontId="10" fillId="0" borderId="0" xfId="0" applyFont="1" applyAlignment="1">
      <alignment horizontal="right" wrapText="1"/>
    </xf>
    <xf numFmtId="164" fontId="5" fillId="0" borderId="0" xfId="1" applyNumberFormat="1" applyFont="1" applyAlignment="1">
      <alignment horizontal="right" vertical="center" wrapText="1"/>
    </xf>
    <xf numFmtId="2" fontId="0" fillId="0" borderId="2" xfId="1" applyNumberFormat="1" applyFont="1" applyBorder="1" applyAlignment="1">
      <alignment horizontal="right"/>
    </xf>
    <xf numFmtId="2" fontId="0" fillId="0" borderId="0" xfId="0" applyNumberFormat="1"/>
    <xf numFmtId="2" fontId="17" fillId="0" borderId="0" xfId="0" applyNumberFormat="1" applyFont="1"/>
    <xf numFmtId="0" fontId="0" fillId="2" borderId="5" xfId="0" applyFill="1" applyBorder="1"/>
    <xf numFmtId="164" fontId="8" fillId="2" borderId="10" xfId="1" applyNumberFormat="1" applyFont="1" applyFill="1" applyBorder="1" applyAlignment="1">
      <alignment horizontal="right"/>
    </xf>
    <xf numFmtId="164" fontId="8" fillId="2" borderId="5" xfId="1" applyNumberFormat="1" applyFont="1" applyFill="1" applyBorder="1" applyAlignment="1">
      <alignment horizontal="right"/>
    </xf>
    <xf numFmtId="164" fontId="9" fillId="2" borderId="7" xfId="1" applyNumberFormat="1" applyFont="1" applyFill="1" applyBorder="1" applyAlignment="1">
      <alignment horizontal="right" vertical="center"/>
    </xf>
    <xf numFmtId="43" fontId="8" fillId="2" borderId="8" xfId="1" applyFont="1" applyFill="1" applyBorder="1" applyAlignment="1">
      <alignment horizontal="right"/>
    </xf>
    <xf numFmtId="43" fontId="9" fillId="2" borderId="11" xfId="1" applyFont="1" applyFill="1" applyBorder="1" applyAlignment="1">
      <alignment horizontal="right" wrapText="1"/>
    </xf>
    <xf numFmtId="164" fontId="4" fillId="0" borderId="0" xfId="1" applyNumberFormat="1" applyFont="1" applyBorder="1" applyAlignment="1">
      <alignment horizontal="right" vertical="center"/>
    </xf>
    <xf numFmtId="164" fontId="5" fillId="0" borderId="0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43" fontId="1" fillId="0" borderId="0" xfId="1" applyFont="1" applyAlignment="1">
      <alignment horizontal="right" vertical="center"/>
    </xf>
    <xf numFmtId="15" fontId="0" fillId="0" borderId="0" xfId="0" applyNumberFormat="1" applyAlignment="1">
      <alignment vertical="center"/>
    </xf>
    <xf numFmtId="0" fontId="2" fillId="0" borderId="0" xfId="1" applyNumberFormat="1" applyFont="1" applyAlignment="1">
      <alignment vertical="center"/>
    </xf>
    <xf numFmtId="2" fontId="2" fillId="0" borderId="0" xfId="1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9" fillId="2" borderId="6" xfId="1" applyNumberFormat="1" applyFont="1" applyFill="1" applyBorder="1" applyAlignment="1">
      <alignment horizontal="right" vertical="center"/>
    </xf>
    <xf numFmtId="43" fontId="0" fillId="0" borderId="0" xfId="1" applyFont="1" applyFill="1" applyAlignment="1">
      <alignment horizontal="right" vertical="center"/>
    </xf>
    <xf numFmtId="164" fontId="5" fillId="0" borderId="3" xfId="1" applyNumberFormat="1" applyFont="1" applyBorder="1" applyAlignment="1">
      <alignment horizontal="right" vertical="center"/>
    </xf>
    <xf numFmtId="164" fontId="1" fillId="0" borderId="15" xfId="1" applyNumberFormat="1" applyFont="1" applyBorder="1" applyAlignment="1">
      <alignment horizontal="right" vertical="center"/>
    </xf>
    <xf numFmtId="164" fontId="1" fillId="0" borderId="14" xfId="1" applyNumberFormat="1" applyFont="1" applyBorder="1" applyAlignment="1">
      <alignment horizontal="right" vertical="center"/>
    </xf>
    <xf numFmtId="164" fontId="1" fillId="0" borderId="14" xfId="0" applyNumberFormat="1" applyFont="1" applyBorder="1"/>
    <xf numFmtId="164" fontId="1" fillId="0" borderId="12" xfId="1" applyNumberFormat="1" applyFont="1" applyBorder="1" applyAlignment="1">
      <alignment horizontal="right" vertical="center"/>
    </xf>
    <xf numFmtId="164" fontId="7" fillId="0" borderId="12" xfId="1" applyNumberFormat="1" applyFont="1" applyBorder="1" applyAlignment="1">
      <alignment horizontal="right" vertical="center"/>
    </xf>
    <xf numFmtId="164" fontId="7" fillId="0" borderId="16" xfId="1" applyNumberFormat="1" applyFont="1" applyBorder="1" applyAlignment="1">
      <alignment horizontal="right" vertical="center"/>
    </xf>
    <xf numFmtId="0" fontId="0" fillId="0" borderId="15" xfId="0" applyBorder="1"/>
    <xf numFmtId="0" fontId="7" fillId="3" borderId="20" xfId="0" applyFont="1" applyFill="1" applyBorder="1" applyAlignment="1">
      <alignment horizontal="right"/>
    </xf>
    <xf numFmtId="0" fontId="7" fillId="3" borderId="0" xfId="0" applyFont="1" applyFill="1" applyAlignment="1">
      <alignment horizontal="right"/>
    </xf>
    <xf numFmtId="0" fontId="7" fillId="3" borderId="21" xfId="0" applyFont="1" applyFill="1" applyBorder="1" applyAlignment="1">
      <alignment horizontal="right" wrapText="1"/>
    </xf>
    <xf numFmtId="164" fontId="1" fillId="3" borderId="22" xfId="1" applyNumberFormat="1" applyFont="1" applyFill="1" applyBorder="1" applyAlignment="1">
      <alignment horizontal="right" vertical="center"/>
    </xf>
    <xf numFmtId="164" fontId="1" fillId="3" borderId="1" xfId="1" applyNumberFormat="1" applyFont="1" applyFill="1" applyBorder="1" applyAlignment="1">
      <alignment horizontal="right" vertical="center"/>
    </xf>
    <xf numFmtId="164" fontId="1" fillId="3" borderId="17" xfId="1" applyNumberFormat="1" applyFont="1" applyFill="1" applyBorder="1" applyAlignment="1">
      <alignment horizontal="right" vertical="center"/>
    </xf>
    <xf numFmtId="164" fontId="1" fillId="3" borderId="20" xfId="1" applyNumberFormat="1" applyFont="1" applyFill="1" applyBorder="1" applyAlignment="1">
      <alignment horizontal="right" vertical="center"/>
    </xf>
    <xf numFmtId="164" fontId="1" fillId="3" borderId="0" xfId="1" applyNumberFormat="1" applyFont="1" applyFill="1" applyBorder="1" applyAlignment="1">
      <alignment horizontal="right" vertical="center"/>
    </xf>
    <xf numFmtId="164" fontId="1" fillId="3" borderId="21" xfId="1" applyNumberFormat="1" applyFont="1" applyFill="1" applyBorder="1" applyAlignment="1">
      <alignment horizontal="right" vertical="center"/>
    </xf>
    <xf numFmtId="164" fontId="1" fillId="3" borderId="20" xfId="1" applyNumberFormat="1" applyFont="1" applyFill="1" applyBorder="1" applyAlignment="1">
      <alignment horizontal="right"/>
    </xf>
    <xf numFmtId="164" fontId="1" fillId="3" borderId="0" xfId="1" applyNumberFormat="1" applyFont="1" applyFill="1" applyBorder="1" applyAlignment="1">
      <alignment horizontal="right"/>
    </xf>
    <xf numFmtId="164" fontId="1" fillId="3" borderId="21" xfId="1" applyNumberFormat="1" applyFont="1" applyFill="1" applyBorder="1"/>
    <xf numFmtId="164" fontId="1" fillId="3" borderId="18" xfId="1" applyNumberFormat="1" applyFont="1" applyFill="1" applyBorder="1" applyAlignment="1">
      <alignment horizontal="right" vertical="center"/>
    </xf>
    <xf numFmtId="164" fontId="1" fillId="3" borderId="3" xfId="1" applyNumberFormat="1" applyFont="1" applyFill="1" applyBorder="1" applyAlignment="1">
      <alignment horizontal="right" vertical="center"/>
    </xf>
    <xf numFmtId="164" fontId="1" fillId="3" borderId="19" xfId="1" applyNumberFormat="1" applyFont="1" applyFill="1" applyBorder="1" applyAlignment="1">
      <alignment horizontal="right" vertical="center"/>
    </xf>
    <xf numFmtId="164" fontId="7" fillId="3" borderId="18" xfId="1" applyNumberFormat="1" applyFont="1" applyFill="1" applyBorder="1" applyAlignment="1">
      <alignment horizontal="right" vertical="center"/>
    </xf>
    <xf numFmtId="164" fontId="7" fillId="3" borderId="3" xfId="1" applyNumberFormat="1" applyFont="1" applyFill="1" applyBorder="1" applyAlignment="1">
      <alignment horizontal="right" vertical="center"/>
    </xf>
    <xf numFmtId="164" fontId="7" fillId="3" borderId="19" xfId="1" applyNumberFormat="1" applyFont="1" applyFill="1" applyBorder="1" applyAlignment="1">
      <alignment horizontal="right" vertical="center"/>
    </xf>
    <xf numFmtId="164" fontId="7" fillId="3" borderId="23" xfId="1" applyNumberFormat="1" applyFont="1" applyFill="1" applyBorder="1" applyAlignment="1">
      <alignment horizontal="right" vertical="center"/>
    </xf>
    <xf numFmtId="164" fontId="7" fillId="3" borderId="4" xfId="1" applyNumberFormat="1" applyFont="1" applyFill="1" applyBorder="1" applyAlignment="1">
      <alignment horizontal="right" vertical="center"/>
    </xf>
    <xf numFmtId="164" fontId="7" fillId="3" borderId="24" xfId="1" applyNumberFormat="1" applyFont="1" applyFill="1" applyBorder="1" applyAlignment="1">
      <alignment horizontal="right" vertical="center"/>
    </xf>
    <xf numFmtId="0" fontId="0" fillId="3" borderId="22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3" borderId="17" xfId="0" applyFill="1" applyBorder="1"/>
    <xf numFmtId="0" fontId="19" fillId="0" borderId="0" xfId="0" applyFont="1" applyAlignment="1">
      <alignment horizontal="right" vertical="center"/>
    </xf>
    <xf numFmtId="2" fontId="1" fillId="0" borderId="0" xfId="1" applyNumberFormat="1" applyFont="1" applyAlignment="1">
      <alignment horizontal="right"/>
    </xf>
    <xf numFmtId="164" fontId="0" fillId="0" borderId="0" xfId="0" applyNumberFormat="1"/>
    <xf numFmtId="164" fontId="4" fillId="0" borderId="0" xfId="1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26" xfId="0" applyFont="1" applyBorder="1"/>
    <xf numFmtId="0" fontId="2" fillId="0" borderId="27" xfId="0" applyFont="1" applyBorder="1"/>
    <xf numFmtId="164" fontId="2" fillId="0" borderId="27" xfId="1" applyNumberFormat="1" applyFont="1" applyBorder="1" applyAlignment="1">
      <alignment horizontal="right" vertical="center"/>
    </xf>
    <xf numFmtId="164" fontId="3" fillId="0" borderId="27" xfId="1" applyNumberFormat="1" applyFont="1" applyBorder="1" applyAlignment="1">
      <alignment horizontal="right" vertical="center"/>
    </xf>
    <xf numFmtId="164" fontId="2" fillId="0" borderId="28" xfId="0" applyNumberFormat="1" applyFont="1" applyBorder="1"/>
    <xf numFmtId="0" fontId="2" fillId="0" borderId="29" xfId="0" applyFont="1" applyBorder="1"/>
    <xf numFmtId="164" fontId="2" fillId="0" borderId="0" xfId="1" applyNumberFormat="1" applyFont="1" applyBorder="1" applyAlignment="1">
      <alignment horizontal="right" vertical="center"/>
    </xf>
    <xf numFmtId="164" fontId="2" fillId="0" borderId="25" xfId="0" applyNumberFormat="1" applyFont="1" applyBorder="1"/>
    <xf numFmtId="164" fontId="3" fillId="0" borderId="0" xfId="1" applyNumberFormat="1" applyFont="1" applyBorder="1" applyAlignment="1">
      <alignment horizontal="right" vertical="center"/>
    </xf>
    <xf numFmtId="0" fontId="2" fillId="0" borderId="30" xfId="0" applyFont="1" applyBorder="1"/>
    <xf numFmtId="0" fontId="2" fillId="0" borderId="31" xfId="0" applyFont="1" applyBorder="1"/>
    <xf numFmtId="164" fontId="2" fillId="0" borderId="31" xfId="1" applyNumberFormat="1" applyFont="1" applyBorder="1" applyAlignment="1">
      <alignment horizontal="right" vertical="center"/>
    </xf>
    <xf numFmtId="164" fontId="3" fillId="0" borderId="31" xfId="1" applyNumberFormat="1" applyFont="1" applyBorder="1" applyAlignment="1">
      <alignment horizontal="right" vertical="center"/>
    </xf>
    <xf numFmtId="164" fontId="2" fillId="0" borderId="32" xfId="0" applyNumberFormat="1" applyFont="1" applyBorder="1"/>
    <xf numFmtId="164" fontId="5" fillId="0" borderId="0" xfId="0" applyNumberFormat="1" applyFont="1" applyAlignment="1">
      <alignment vertical="center"/>
    </xf>
    <xf numFmtId="164" fontId="0" fillId="0" borderId="0" xfId="0" applyNumberFormat="1" applyAlignment="1">
      <alignment horizontal="right" wrapText="1"/>
    </xf>
    <xf numFmtId="164" fontId="5" fillId="0" borderId="0" xfId="0" applyNumberFormat="1" applyFont="1"/>
    <xf numFmtId="164" fontId="11" fillId="0" borderId="0" xfId="1" applyNumberFormat="1" applyFont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164" fontId="9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right" wrapText="1"/>
    </xf>
    <xf numFmtId="164" fontId="9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right" vertical="center"/>
    </xf>
    <xf numFmtId="164" fontId="8" fillId="4" borderId="38" xfId="1" applyNumberFormat="1" applyFont="1" applyFill="1" applyBorder="1" applyAlignment="1">
      <alignment horizontal="right"/>
    </xf>
    <xf numFmtId="0" fontId="0" fillId="4" borderId="39" xfId="0" applyFill="1" applyBorder="1"/>
    <xf numFmtId="164" fontId="8" fillId="4" borderId="40" xfId="1" applyNumberFormat="1" applyFont="1" applyFill="1" applyBorder="1" applyAlignment="1">
      <alignment horizontal="right"/>
    </xf>
    <xf numFmtId="0" fontId="8" fillId="4" borderId="39" xfId="0" applyFont="1" applyFill="1" applyBorder="1"/>
    <xf numFmtId="164" fontId="8" fillId="4" borderId="41" xfId="1" applyNumberFormat="1" applyFont="1" applyFill="1" applyBorder="1" applyAlignment="1">
      <alignment horizontal="right" vertical="center"/>
    </xf>
    <xf numFmtId="164" fontId="8" fillId="4" borderId="42" xfId="1" applyNumberFormat="1" applyFont="1" applyFill="1" applyBorder="1" applyAlignment="1">
      <alignment vertical="center" wrapText="1"/>
    </xf>
    <xf numFmtId="164" fontId="8" fillId="4" borderId="43" xfId="1" applyNumberFormat="1" applyFont="1" applyFill="1" applyBorder="1" applyAlignment="1">
      <alignment vertical="center" wrapText="1"/>
    </xf>
    <xf numFmtId="164" fontId="8" fillId="4" borderId="44" xfId="1" applyNumberFormat="1" applyFont="1" applyFill="1" applyBorder="1" applyAlignment="1">
      <alignment vertical="center" wrapText="1"/>
    </xf>
    <xf numFmtId="164" fontId="8" fillId="4" borderId="45" xfId="1" applyNumberFormat="1" applyFont="1" applyFill="1" applyBorder="1" applyAlignment="1">
      <alignment horizontal="right"/>
    </xf>
    <xf numFmtId="0" fontId="0" fillId="4" borderId="46" xfId="0" applyFill="1" applyBorder="1"/>
    <xf numFmtId="164" fontId="9" fillId="4" borderId="41" xfId="1" applyNumberFormat="1" applyFont="1" applyFill="1" applyBorder="1" applyAlignment="1">
      <alignment horizontal="right" vertical="center"/>
    </xf>
    <xf numFmtId="0" fontId="5" fillId="4" borderId="39" xfId="0" applyFont="1" applyFill="1" applyBorder="1"/>
    <xf numFmtId="164" fontId="0" fillId="0" borderId="0" xfId="0" applyNumberFormat="1" applyAlignment="1">
      <alignment vertical="center"/>
    </xf>
    <xf numFmtId="164" fontId="0" fillId="0" borderId="2" xfId="0" applyNumberFormat="1" applyBorder="1"/>
    <xf numFmtId="164" fontId="0" fillId="0" borderId="3" xfId="0" applyNumberFormat="1" applyBorder="1" applyAlignment="1">
      <alignment vertical="center"/>
    </xf>
    <xf numFmtId="2" fontId="0" fillId="0" borderId="4" xfId="0" applyNumberFormat="1" applyBorder="1"/>
    <xf numFmtId="2" fontId="3" fillId="0" borderId="0" xfId="1" applyNumberFormat="1" applyFont="1" applyBorder="1" applyAlignment="1">
      <alignment horizontal="right" vertical="top"/>
    </xf>
    <xf numFmtId="43" fontId="3" fillId="0" borderId="0" xfId="1" applyFont="1" applyAlignment="1">
      <alignment horizontal="center" wrapText="1"/>
    </xf>
    <xf numFmtId="43" fontId="2" fillId="0" borderId="0" xfId="1" applyFont="1" applyAlignment="1">
      <alignment horizontal="right"/>
    </xf>
    <xf numFmtId="2" fontId="2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center" wrapText="1"/>
    </xf>
    <xf numFmtId="2" fontId="2" fillId="0" borderId="2" xfId="1" applyNumberFormat="1" applyFont="1" applyBorder="1" applyAlignment="1">
      <alignment horizontal="right"/>
    </xf>
    <xf numFmtId="2" fontId="3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center" vertical="center"/>
    </xf>
    <xf numFmtId="2" fontId="2" fillId="0" borderId="0" xfId="0" applyNumberFormat="1" applyFont="1"/>
    <xf numFmtId="164" fontId="2" fillId="0" borderId="0" xfId="0" applyNumberFormat="1" applyFont="1"/>
    <xf numFmtId="164" fontId="2" fillId="0" borderId="0" xfId="1" applyNumberFormat="1" applyFont="1" applyAlignment="1">
      <alignment horizontal="right"/>
    </xf>
    <xf numFmtId="2" fontId="21" fillId="0" borderId="0" xfId="1" applyNumberFormat="1" applyFont="1" applyAlignment="1">
      <alignment horizontal="right"/>
    </xf>
    <xf numFmtId="43" fontId="5" fillId="0" borderId="0" xfId="0" applyNumberFormat="1" applyFont="1" applyAlignment="1">
      <alignment horizontal="center" vertical="center"/>
    </xf>
    <xf numFmtId="164" fontId="3" fillId="0" borderId="0" xfId="1" applyNumberFormat="1" applyFont="1" applyBorder="1" applyAlignment="1">
      <alignment horizontal="right" wrapText="1"/>
    </xf>
    <xf numFmtId="164" fontId="5" fillId="0" borderId="0" xfId="1" applyNumberFormat="1" applyFont="1" applyBorder="1" applyAlignment="1">
      <alignment horizontal="right"/>
    </xf>
    <xf numFmtId="164" fontId="4" fillId="0" borderId="0" xfId="1" applyNumberFormat="1" applyFont="1" applyBorder="1"/>
    <xf numFmtId="164" fontId="5" fillId="0" borderId="0" xfId="1" applyNumberFormat="1" applyFont="1" applyBorder="1" applyAlignment="1">
      <alignment horizontal="center" vertical="center"/>
    </xf>
    <xf numFmtId="164" fontId="11" fillId="0" borderId="0" xfId="1" applyNumberFormat="1" applyFont="1" applyBorder="1" applyAlignment="1">
      <alignment horizontal="right"/>
    </xf>
    <xf numFmtId="43" fontId="16" fillId="0" borderId="0" xfId="1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17" fontId="0" fillId="0" borderId="0" xfId="0" applyNumberFormat="1"/>
    <xf numFmtId="0" fontId="5" fillId="0" borderId="0" xfId="0" applyFont="1" applyAlignment="1">
      <alignment vertical="center" wrapText="1"/>
    </xf>
    <xf numFmtId="164" fontId="5" fillId="0" borderId="0" xfId="1" applyNumberFormat="1" applyFont="1" applyAlignment="1">
      <alignment horizontal="left" vertical="center"/>
    </xf>
    <xf numFmtId="0" fontId="3" fillId="0" borderId="0" xfId="1" applyNumberFormat="1" applyFont="1" applyBorder="1" applyAlignment="1">
      <alignment horizontal="right" vertical="center"/>
    </xf>
    <xf numFmtId="0" fontId="3" fillId="0" borderId="0" xfId="1" applyNumberFormat="1" applyFont="1" applyAlignment="1">
      <alignment horizontal="right" wrapText="1"/>
    </xf>
    <xf numFmtId="0" fontId="3" fillId="0" borderId="0" xfId="1" applyNumberFormat="1" applyFont="1" applyAlignment="1">
      <alignment horizontal="right"/>
    </xf>
    <xf numFmtId="0" fontId="2" fillId="0" borderId="0" xfId="1" applyNumberFormat="1" applyFont="1" applyAlignment="1">
      <alignment horizontal="right" vertical="center"/>
    </xf>
    <xf numFmtId="164" fontId="4" fillId="0" borderId="4" xfId="1" applyNumberFormat="1" applyFont="1" applyBorder="1" applyAlignment="1">
      <alignment horizontal="right" vertical="center"/>
    </xf>
    <xf numFmtId="164" fontId="4" fillId="5" borderId="27" xfId="1" applyNumberFormat="1" applyFont="1" applyFill="1" applyBorder="1" applyAlignment="1">
      <alignment horizontal="left" vertical="top"/>
    </xf>
    <xf numFmtId="2" fontId="5" fillId="5" borderId="27" xfId="1" applyNumberFormat="1" applyFont="1" applyFill="1" applyBorder="1" applyAlignment="1">
      <alignment horizontal="right" vertical="top"/>
    </xf>
    <xf numFmtId="164" fontId="0" fillId="5" borderId="28" xfId="1" applyNumberFormat="1" applyFont="1" applyFill="1" applyBorder="1" applyAlignment="1">
      <alignment horizontal="right"/>
    </xf>
    <xf numFmtId="0" fontId="0" fillId="5" borderId="29" xfId="0" applyFill="1" applyBorder="1"/>
    <xf numFmtId="164" fontId="0" fillId="5" borderId="0" xfId="0" applyNumberFormat="1" applyFill="1" applyAlignment="1">
      <alignment horizontal="left"/>
    </xf>
    <xf numFmtId="0" fontId="0" fillId="5" borderId="0" xfId="0" applyFill="1"/>
    <xf numFmtId="164" fontId="0" fillId="5" borderId="25" xfId="0" applyNumberFormat="1" applyFill="1" applyBorder="1"/>
    <xf numFmtId="0" fontId="0" fillId="5" borderId="30" xfId="0" applyFill="1" applyBorder="1"/>
    <xf numFmtId="0" fontId="0" fillId="5" borderId="31" xfId="0" applyFill="1" applyBorder="1"/>
    <xf numFmtId="164" fontId="5" fillId="5" borderId="47" xfId="0" applyNumberFormat="1" applyFont="1" applyFill="1" applyBorder="1"/>
    <xf numFmtId="164" fontId="4" fillId="0" borderId="31" xfId="1" applyNumberFormat="1" applyFont="1" applyBorder="1" applyAlignment="1">
      <alignment horizontal="right" vertical="center"/>
    </xf>
    <xf numFmtId="164" fontId="5" fillId="0" borderId="31" xfId="1" applyNumberFormat="1" applyFont="1" applyBorder="1" applyAlignment="1">
      <alignment horizontal="right" vertical="center"/>
    </xf>
    <xf numFmtId="2" fontId="0" fillId="0" borderId="2" xfId="0" applyNumberFormat="1" applyBorder="1"/>
    <xf numFmtId="0" fontId="22" fillId="0" borderId="0" xfId="1" applyNumberFormat="1" applyFont="1" applyBorder="1" applyAlignment="1">
      <alignment vertical="center"/>
    </xf>
    <xf numFmtId="0" fontId="23" fillId="0" borderId="0" xfId="1" applyNumberFormat="1" applyFont="1"/>
    <xf numFmtId="0" fontId="22" fillId="0" borderId="0" xfId="1" applyNumberFormat="1" applyFont="1"/>
    <xf numFmtId="0" fontId="23" fillId="0" borderId="0" xfId="1" applyNumberFormat="1" applyFont="1" applyAlignment="1">
      <alignment vertical="center"/>
    </xf>
    <xf numFmtId="0" fontId="23" fillId="0" borderId="0" xfId="1" applyNumberFormat="1" applyFont="1" applyAlignment="1">
      <alignment horizontal="right"/>
    </xf>
    <xf numFmtId="0" fontId="5" fillId="5" borderId="29" xfId="0" applyFont="1" applyFill="1" applyBorder="1" applyAlignment="1">
      <alignment horizontal="right" vertical="center"/>
    </xf>
    <xf numFmtId="164" fontId="4" fillId="5" borderId="0" xfId="1" applyNumberFormat="1" applyFont="1" applyFill="1" applyBorder="1" applyAlignment="1">
      <alignment horizontal="left" vertical="top"/>
    </xf>
    <xf numFmtId="2" fontId="5" fillId="5" borderId="0" xfId="1" applyNumberFormat="1" applyFont="1" applyFill="1" applyBorder="1" applyAlignment="1">
      <alignment horizontal="right" vertical="top"/>
    </xf>
    <xf numFmtId="164" fontId="0" fillId="5" borderId="25" xfId="1" applyNumberFormat="1" applyFont="1" applyFill="1" applyBorder="1" applyAlignment="1">
      <alignment horizontal="right"/>
    </xf>
    <xf numFmtId="2" fontId="30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43" fontId="16" fillId="0" borderId="0" xfId="1" applyFont="1"/>
    <xf numFmtId="43" fontId="15" fillId="0" borderId="48" xfId="0" applyNumberFormat="1" applyFont="1" applyBorder="1" applyAlignment="1">
      <alignment horizontal="center" vertical="center" wrapText="1"/>
    </xf>
    <xf numFmtId="43" fontId="15" fillId="0" borderId="49" xfId="0" applyNumberFormat="1" applyFont="1" applyBorder="1" applyAlignment="1">
      <alignment horizontal="center" vertical="center" wrapText="1"/>
    </xf>
    <xf numFmtId="43" fontId="15" fillId="0" borderId="50" xfId="0" applyNumberFormat="1" applyFont="1" applyBorder="1" applyAlignment="1">
      <alignment horizontal="center" vertical="center"/>
    </xf>
    <xf numFmtId="43" fontId="16" fillId="0" borderId="51" xfId="1" applyFont="1" applyBorder="1"/>
    <xf numFmtId="43" fontId="16" fillId="0" borderId="0" xfId="1" applyFont="1" applyBorder="1"/>
    <xf numFmtId="43" fontId="16" fillId="0" borderId="52" xfId="1" applyFont="1" applyBorder="1"/>
    <xf numFmtId="43" fontId="16" fillId="0" borderId="51" xfId="1" applyFont="1" applyBorder="1" applyAlignment="1">
      <alignment horizontal="right"/>
    </xf>
    <xf numFmtId="43" fontId="16" fillId="0" borderId="52" xfId="1" applyFont="1" applyBorder="1" applyAlignment="1">
      <alignment horizontal="right"/>
    </xf>
    <xf numFmtId="0" fontId="0" fillId="0" borderId="53" xfId="0" applyBorder="1"/>
    <xf numFmtId="0" fontId="0" fillId="0" borderId="54" xfId="0" applyBorder="1"/>
    <xf numFmtId="0" fontId="0" fillId="0" borderId="55" xfId="0" applyBorder="1"/>
    <xf numFmtId="43" fontId="23" fillId="0" borderId="0" xfId="1" applyFont="1"/>
    <xf numFmtId="43" fontId="5" fillId="0" borderId="0" xfId="1" applyFont="1" applyAlignment="1">
      <alignment horizontal="center" vertical="center"/>
    </xf>
    <xf numFmtId="43" fontId="5" fillId="0" borderId="0" xfId="1" applyFont="1" applyAlignment="1">
      <alignment horizontal="left" vertical="center"/>
    </xf>
    <xf numFmtId="43" fontId="30" fillId="0" borderId="2" xfId="1" applyFont="1" applyBorder="1" applyAlignment="1">
      <alignment horizontal="center"/>
    </xf>
    <xf numFmtId="15" fontId="0" fillId="6" borderId="0" xfId="0" applyNumberFormat="1" applyFill="1" applyProtection="1">
      <protection locked="0"/>
    </xf>
    <xf numFmtId="0" fontId="0" fillId="6" borderId="0" xfId="0" applyFill="1" applyProtection="1">
      <protection locked="0"/>
    </xf>
    <xf numFmtId="0" fontId="2" fillId="6" borderId="0" xfId="1" applyNumberFormat="1" applyFont="1" applyFill="1" applyAlignment="1" applyProtection="1">
      <alignment horizontal="right"/>
      <protection locked="0"/>
    </xf>
    <xf numFmtId="164" fontId="22" fillId="6" borderId="0" xfId="1" applyNumberFormat="1" applyFont="1" applyFill="1" applyAlignment="1" applyProtection="1">
      <alignment horizontal="center" vertical="center"/>
      <protection locked="0"/>
    </xf>
    <xf numFmtId="43" fontId="2" fillId="6" borderId="0" xfId="1" applyFont="1" applyFill="1" applyAlignment="1" applyProtection="1">
      <alignment horizontal="right"/>
      <protection locked="0"/>
    </xf>
    <xf numFmtId="164" fontId="0" fillId="6" borderId="0" xfId="1" applyNumberFormat="1" applyFont="1" applyFill="1" applyAlignment="1" applyProtection="1">
      <alignment horizontal="right"/>
      <protection locked="0"/>
    </xf>
    <xf numFmtId="43" fontId="0" fillId="6" borderId="0" xfId="1" applyFont="1" applyFill="1" applyProtection="1">
      <protection locked="0"/>
    </xf>
    <xf numFmtId="43" fontId="0" fillId="6" borderId="0" xfId="1" applyFont="1" applyFill="1" applyAlignment="1" applyProtection="1">
      <alignment horizontal="right"/>
      <protection locked="0"/>
    </xf>
    <xf numFmtId="164" fontId="5" fillId="6" borderId="0" xfId="1" applyNumberFormat="1" applyFont="1" applyFill="1" applyAlignment="1" applyProtection="1">
      <alignment horizontal="center" vertical="center"/>
      <protection locked="0"/>
    </xf>
    <xf numFmtId="164" fontId="5" fillId="6" borderId="0" xfId="1" applyNumberFormat="1" applyFont="1" applyFill="1" applyAlignment="1" applyProtection="1">
      <alignment horizontal="left" vertical="center"/>
      <protection locked="0"/>
    </xf>
    <xf numFmtId="0" fontId="2" fillId="6" borderId="0" xfId="0" applyFont="1" applyFill="1" applyProtection="1">
      <protection locked="0"/>
    </xf>
    <xf numFmtId="15" fontId="24" fillId="6" borderId="0" xfId="0" applyNumberFormat="1" applyFont="1" applyFill="1" applyProtection="1">
      <protection locked="0"/>
    </xf>
    <xf numFmtId="0" fontId="25" fillId="6" borderId="0" xfId="0" applyFont="1" applyFill="1" applyProtection="1">
      <protection locked="0"/>
    </xf>
    <xf numFmtId="0" fontId="25" fillId="6" borderId="0" xfId="1" applyNumberFormat="1" applyFont="1" applyFill="1" applyAlignment="1" applyProtection="1">
      <alignment horizontal="right"/>
      <protection locked="0"/>
    </xf>
    <xf numFmtId="164" fontId="26" fillId="6" borderId="0" xfId="1" applyNumberFormat="1" applyFont="1" applyFill="1" applyAlignment="1" applyProtection="1">
      <alignment horizontal="center" vertical="center"/>
      <protection locked="0"/>
    </xf>
    <xf numFmtId="164" fontId="27" fillId="6" borderId="0" xfId="1" applyNumberFormat="1" applyFont="1" applyFill="1" applyAlignment="1" applyProtection="1">
      <alignment horizontal="center" vertical="center"/>
      <protection locked="0"/>
    </xf>
    <xf numFmtId="164" fontId="27" fillId="6" borderId="0" xfId="1" applyNumberFormat="1" applyFont="1" applyFill="1" applyAlignment="1" applyProtection="1">
      <alignment horizontal="left" vertical="center"/>
      <protection locked="0"/>
    </xf>
    <xf numFmtId="43" fontId="3" fillId="6" borderId="11" xfId="1" applyFont="1" applyFill="1" applyBorder="1" applyAlignment="1">
      <alignment horizontal="center" vertical="center" wrapText="1"/>
    </xf>
    <xf numFmtId="0" fontId="2" fillId="6" borderId="5" xfId="0" applyFont="1" applyFill="1" applyBorder="1"/>
    <xf numFmtId="164" fontId="2" fillId="6" borderId="8" xfId="1" applyNumberFormat="1" applyFont="1" applyFill="1" applyBorder="1" applyAlignment="1">
      <alignment horizontal="right"/>
    </xf>
    <xf numFmtId="164" fontId="2" fillId="6" borderId="5" xfId="1" applyNumberFormat="1" applyFont="1" applyFill="1" applyBorder="1" applyAlignment="1">
      <alignment horizontal="right"/>
    </xf>
    <xf numFmtId="164" fontId="3" fillId="6" borderId="6" xfId="1" applyNumberFormat="1" applyFont="1" applyFill="1" applyBorder="1" applyAlignment="1">
      <alignment horizontal="right" vertical="center"/>
    </xf>
    <xf numFmtId="164" fontId="3" fillId="6" borderId="7" xfId="1" applyNumberFormat="1" applyFont="1" applyFill="1" applyBorder="1" applyAlignment="1">
      <alignment horizontal="right" vertical="center"/>
    </xf>
    <xf numFmtId="43" fontId="2" fillId="6" borderId="8" xfId="1" applyFont="1" applyFill="1" applyBorder="1" applyAlignment="1">
      <alignment horizontal="right"/>
    </xf>
    <xf numFmtId="43" fontId="7" fillId="6" borderId="11" xfId="1" applyFont="1" applyFill="1" applyBorder="1" applyAlignment="1">
      <alignment horizontal="center" vertical="center" wrapText="1"/>
    </xf>
    <xf numFmtId="0" fontId="1" fillId="6" borderId="5" xfId="0" applyFont="1" applyFill="1" applyBorder="1"/>
    <xf numFmtId="164" fontId="1" fillId="6" borderId="10" xfId="1" applyNumberFormat="1" applyFont="1" applyFill="1" applyBorder="1" applyAlignment="1">
      <alignment horizontal="right"/>
    </xf>
    <xf numFmtId="164" fontId="1" fillId="6" borderId="5" xfId="1" applyNumberFormat="1" applyFont="1" applyFill="1" applyBorder="1" applyAlignment="1">
      <alignment horizontal="right"/>
    </xf>
    <xf numFmtId="164" fontId="7" fillId="6" borderId="6" xfId="1" applyNumberFormat="1" applyFont="1" applyFill="1" applyBorder="1" applyAlignment="1">
      <alignment horizontal="right" vertical="center"/>
    </xf>
    <xf numFmtId="164" fontId="7" fillId="6" borderId="7" xfId="1" applyNumberFormat="1" applyFont="1" applyFill="1" applyBorder="1" applyAlignment="1">
      <alignment horizontal="right" vertical="center"/>
    </xf>
    <xf numFmtId="43" fontId="1" fillId="6" borderId="8" xfId="1" applyFont="1" applyFill="1" applyBorder="1" applyAlignment="1">
      <alignment horizontal="right"/>
    </xf>
    <xf numFmtId="43" fontId="0" fillId="0" borderId="0" xfId="1" applyFont="1" applyFill="1"/>
    <xf numFmtId="164" fontId="0" fillId="0" borderId="0" xfId="1" applyNumberFormat="1" applyFont="1"/>
    <xf numFmtId="0" fontId="5" fillId="0" borderId="0" xfId="0" applyFont="1" applyAlignment="1">
      <alignment horizontal="left" vertical="center"/>
    </xf>
    <xf numFmtId="0" fontId="10" fillId="7" borderId="26" xfId="0" applyFont="1" applyFill="1" applyBorder="1"/>
    <xf numFmtId="164" fontId="3" fillId="0" borderId="0" xfId="1" applyNumberFormat="1" applyFont="1" applyBorder="1" applyAlignment="1">
      <alignment horizontal="right" vertical="center" wrapText="1"/>
    </xf>
    <xf numFmtId="164" fontId="0" fillId="0" borderId="0" xfId="0" applyNumberFormat="1" applyAlignment="1">
      <alignment horizontal="left" vertical="center"/>
    </xf>
    <xf numFmtId="164" fontId="0" fillId="0" borderId="9" xfId="0" applyNumberFormat="1" applyBorder="1" applyAlignment="1">
      <alignment vertical="center"/>
    </xf>
    <xf numFmtId="0" fontId="6" fillId="0" borderId="0" xfId="0" applyFont="1"/>
    <xf numFmtId="164" fontId="2" fillId="0" borderId="0" xfId="1" applyNumberFormat="1" applyFont="1"/>
    <xf numFmtId="0" fontId="0" fillId="0" borderId="0" xfId="0" applyAlignment="1">
      <alignment horizontal="left" vertical="center"/>
    </xf>
    <xf numFmtId="164" fontId="0" fillId="3" borderId="57" xfId="1" applyNumberFormat="1" applyFont="1" applyFill="1" applyBorder="1"/>
    <xf numFmtId="164" fontId="0" fillId="3" borderId="58" xfId="1" applyNumberFormat="1" applyFont="1" applyFill="1" applyBorder="1"/>
    <xf numFmtId="0" fontId="0" fillId="7" borderId="59" xfId="0" applyFill="1" applyBorder="1"/>
    <xf numFmtId="164" fontId="0" fillId="7" borderId="60" xfId="1" applyNumberFormat="1" applyFont="1" applyFill="1" applyBorder="1"/>
    <xf numFmtId="164" fontId="2" fillId="7" borderId="60" xfId="1" applyNumberFormat="1" applyFont="1" applyFill="1" applyBorder="1"/>
    <xf numFmtId="164" fontId="2" fillId="7" borderId="61" xfId="1" applyNumberFormat="1" applyFont="1" applyFill="1" applyBorder="1"/>
    <xf numFmtId="164" fontId="32" fillId="3" borderId="62" xfId="1" quotePrefix="1" applyNumberFormat="1" applyFont="1" applyFill="1" applyBorder="1" applyAlignment="1">
      <alignment horizontal="center"/>
    </xf>
    <xf numFmtId="164" fontId="32" fillId="3" borderId="63" xfId="1" quotePrefix="1" applyNumberFormat="1" applyFont="1" applyFill="1" applyBorder="1" applyAlignment="1">
      <alignment horizontal="center"/>
    </xf>
    <xf numFmtId="0" fontId="10" fillId="7" borderId="64" xfId="0" applyFont="1" applyFill="1" applyBorder="1"/>
    <xf numFmtId="164" fontId="10" fillId="7" borderId="0" xfId="1" applyNumberFormat="1" applyFont="1" applyFill="1" applyBorder="1"/>
    <xf numFmtId="164" fontId="33" fillId="7" borderId="0" xfId="1" quotePrefix="1" applyNumberFormat="1" applyFont="1" applyFill="1" applyBorder="1" applyAlignment="1">
      <alignment horizontal="center"/>
    </xf>
    <xf numFmtId="164" fontId="33" fillId="7" borderId="65" xfId="1" quotePrefix="1" applyNumberFormat="1" applyFont="1" applyFill="1" applyBorder="1" applyAlignment="1">
      <alignment horizontal="center" wrapText="1"/>
    </xf>
    <xf numFmtId="164" fontId="3" fillId="7" borderId="66" xfId="1" quotePrefix="1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164" fontId="10" fillId="7" borderId="29" xfId="1" quotePrefix="1" applyNumberFormat="1" applyFont="1" applyFill="1" applyBorder="1" applyAlignment="1">
      <alignment horizontal="center"/>
    </xf>
    <xf numFmtId="164" fontId="34" fillId="7" borderId="32" xfId="1" applyNumberFormat="1" applyFont="1" applyFill="1" applyBorder="1"/>
    <xf numFmtId="164" fontId="33" fillId="7" borderId="29" xfId="1" quotePrefix="1" applyNumberFormat="1" applyFont="1" applyFill="1" applyBorder="1" applyAlignment="1">
      <alignment horizontal="center"/>
    </xf>
    <xf numFmtId="164" fontId="34" fillId="7" borderId="25" xfId="1" applyNumberFormat="1" applyFont="1" applyFill="1" applyBorder="1"/>
    <xf numFmtId="164" fontId="33" fillId="7" borderId="5" xfId="1" quotePrefix="1" applyNumberFormat="1" applyFont="1" applyFill="1" applyBorder="1" applyAlignment="1">
      <alignment horizontal="center" wrapText="1"/>
    </xf>
    <xf numFmtId="0" fontId="34" fillId="0" borderId="0" xfId="0" applyFont="1"/>
    <xf numFmtId="164" fontId="35" fillId="3" borderId="62" xfId="1" applyNumberFormat="1" applyFont="1" applyFill="1" applyBorder="1"/>
    <xf numFmtId="164" fontId="35" fillId="3" borderId="67" xfId="1" applyNumberFormat="1" applyFont="1" applyFill="1" applyBorder="1"/>
    <xf numFmtId="0" fontId="34" fillId="7" borderId="64" xfId="0" applyFont="1" applyFill="1" applyBorder="1"/>
    <xf numFmtId="164" fontId="34" fillId="7" borderId="29" xfId="1" applyNumberFormat="1" applyFont="1" applyFill="1" applyBorder="1"/>
    <xf numFmtId="164" fontId="34" fillId="7" borderId="0" xfId="1" applyNumberFormat="1" applyFont="1" applyFill="1" applyBorder="1"/>
    <xf numFmtId="164" fontId="36" fillId="7" borderId="29" xfId="1" applyNumberFormat="1" applyFont="1" applyFill="1" applyBorder="1"/>
    <xf numFmtId="164" fontId="36" fillId="7" borderId="32" xfId="1" applyNumberFormat="1" applyFont="1" applyFill="1" applyBorder="1"/>
    <xf numFmtId="164" fontId="36" fillId="7" borderId="0" xfId="1" applyNumberFormat="1" applyFont="1" applyFill="1" applyBorder="1"/>
    <xf numFmtId="164" fontId="36" fillId="7" borderId="5" xfId="1" applyNumberFormat="1" applyFont="1" applyFill="1" applyBorder="1"/>
    <xf numFmtId="164" fontId="2" fillId="7" borderId="66" xfId="1" applyNumberFormat="1" applyFont="1" applyFill="1" applyBorder="1"/>
    <xf numFmtId="164" fontId="35" fillId="3" borderId="63" xfId="1" applyNumberFormat="1" applyFont="1" applyFill="1" applyBorder="1"/>
    <xf numFmtId="164" fontId="36" fillId="7" borderId="25" xfId="1" applyNumberFormat="1" applyFont="1" applyFill="1" applyBorder="1"/>
    <xf numFmtId="0" fontId="34" fillId="0" borderId="0" xfId="0" applyFont="1" applyAlignment="1">
      <alignment vertical="center"/>
    </xf>
    <xf numFmtId="0" fontId="34" fillId="3" borderId="62" xfId="0" applyFont="1" applyFill="1" applyBorder="1" applyAlignment="1">
      <alignment vertical="center"/>
    </xf>
    <xf numFmtId="164" fontId="35" fillId="3" borderId="63" xfId="1" applyNumberFormat="1" applyFont="1" applyFill="1" applyBorder="1" applyAlignment="1">
      <alignment vertical="center"/>
    </xf>
    <xf numFmtId="0" fontId="34" fillId="7" borderId="64" xfId="0" applyFont="1" applyFill="1" applyBorder="1" applyAlignment="1">
      <alignment vertical="center"/>
    </xf>
    <xf numFmtId="0" fontId="34" fillId="7" borderId="29" xfId="0" applyFont="1" applyFill="1" applyBorder="1" applyAlignment="1">
      <alignment vertical="center"/>
    </xf>
    <xf numFmtId="164" fontId="34" fillId="7" borderId="25" xfId="1" applyNumberFormat="1" applyFont="1" applyFill="1" applyBorder="1" applyAlignment="1">
      <alignment vertical="center"/>
    </xf>
    <xf numFmtId="164" fontId="34" fillId="7" borderId="0" xfId="1" applyNumberFormat="1" applyFont="1" applyFill="1" applyBorder="1" applyAlignment="1">
      <alignment vertical="center"/>
    </xf>
    <xf numFmtId="164" fontId="36" fillId="7" borderId="25" xfId="1" applyNumberFormat="1" applyFont="1" applyFill="1" applyBorder="1" applyAlignment="1">
      <alignment vertical="center"/>
    </xf>
    <xf numFmtId="164" fontId="36" fillId="7" borderId="0" xfId="1" applyNumberFormat="1" applyFont="1" applyFill="1" applyBorder="1" applyAlignment="1">
      <alignment vertical="center"/>
    </xf>
    <xf numFmtId="164" fontId="36" fillId="7" borderId="5" xfId="1" applyNumberFormat="1" applyFont="1" applyFill="1" applyBorder="1" applyAlignment="1">
      <alignment vertical="center"/>
    </xf>
    <xf numFmtId="164" fontId="2" fillId="7" borderId="66" xfId="1" applyNumberFormat="1" applyFont="1" applyFill="1" applyBorder="1" applyAlignment="1">
      <alignment vertical="center"/>
    </xf>
    <xf numFmtId="164" fontId="37" fillId="3" borderId="62" xfId="1" applyNumberFormat="1" applyFont="1" applyFill="1" applyBorder="1" applyAlignment="1">
      <alignment vertical="center"/>
    </xf>
    <xf numFmtId="164" fontId="37" fillId="3" borderId="68" xfId="1" applyNumberFormat="1" applyFont="1" applyFill="1" applyBorder="1" applyAlignment="1">
      <alignment vertical="center"/>
    </xf>
    <xf numFmtId="0" fontId="6" fillId="7" borderId="64" xfId="0" applyFont="1" applyFill="1" applyBorder="1" applyAlignment="1">
      <alignment vertical="center"/>
    </xf>
    <xf numFmtId="164" fontId="6" fillId="7" borderId="29" xfId="1" applyNumberFormat="1" applyFont="1" applyFill="1" applyBorder="1" applyAlignment="1">
      <alignment vertical="center"/>
    </xf>
    <xf numFmtId="164" fontId="6" fillId="7" borderId="69" xfId="1" applyNumberFormat="1" applyFont="1" applyFill="1" applyBorder="1" applyAlignment="1">
      <alignment vertical="center"/>
    </xf>
    <xf numFmtId="164" fontId="6" fillId="7" borderId="0" xfId="1" applyNumberFormat="1" applyFont="1" applyFill="1" applyBorder="1" applyAlignment="1">
      <alignment vertical="center"/>
    </xf>
    <xf numFmtId="164" fontId="38" fillId="7" borderId="29" xfId="1" applyNumberFormat="1" applyFont="1" applyFill="1" applyBorder="1" applyAlignment="1">
      <alignment vertical="center"/>
    </xf>
    <xf numFmtId="164" fontId="38" fillId="7" borderId="69" xfId="1" applyNumberFormat="1" applyFont="1" applyFill="1" applyBorder="1" applyAlignment="1">
      <alignment vertical="center"/>
    </xf>
    <xf numFmtId="164" fontId="38" fillId="7" borderId="0" xfId="1" applyNumberFormat="1" applyFont="1" applyFill="1" applyBorder="1" applyAlignment="1">
      <alignment vertical="center"/>
    </xf>
    <xf numFmtId="164" fontId="38" fillId="7" borderId="6" xfId="1" applyNumberFormat="1" applyFont="1" applyFill="1" applyBorder="1" applyAlignment="1">
      <alignment vertical="center"/>
    </xf>
    <xf numFmtId="164" fontId="38" fillId="7" borderId="66" xfId="1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35" fillId="3" borderId="62" xfId="1" applyNumberFormat="1" applyFont="1" applyFill="1" applyBorder="1" applyAlignment="1">
      <alignment vertical="center"/>
    </xf>
    <xf numFmtId="164" fontId="34" fillId="7" borderId="29" xfId="1" applyNumberFormat="1" applyFont="1" applyFill="1" applyBorder="1" applyAlignment="1">
      <alignment vertical="center"/>
    </xf>
    <xf numFmtId="164" fontId="36" fillId="7" borderId="29" xfId="1" applyNumberFormat="1" applyFont="1" applyFill="1" applyBorder="1" applyAlignment="1">
      <alignment vertical="center"/>
    </xf>
    <xf numFmtId="0" fontId="35" fillId="3" borderId="62" xfId="0" applyFont="1" applyFill="1" applyBorder="1" applyAlignment="1">
      <alignment vertical="center"/>
    </xf>
    <xf numFmtId="0" fontId="36" fillId="7" borderId="29" xfId="0" applyFont="1" applyFill="1" applyBorder="1" applyAlignment="1">
      <alignment vertical="center"/>
    </xf>
    <xf numFmtId="164" fontId="37" fillId="3" borderId="70" xfId="1" applyNumberFormat="1" applyFont="1" applyFill="1" applyBorder="1" applyAlignment="1">
      <alignment vertical="center"/>
    </xf>
    <xf numFmtId="164" fontId="38" fillId="7" borderId="47" xfId="1" applyNumberFormat="1" applyFont="1" applyFill="1" applyBorder="1" applyAlignment="1">
      <alignment vertical="center"/>
    </xf>
    <xf numFmtId="164" fontId="38" fillId="7" borderId="7" xfId="1" applyNumberFormat="1" applyFont="1" applyFill="1" applyBorder="1" applyAlignment="1">
      <alignment vertical="center"/>
    </xf>
    <xf numFmtId="164" fontId="33" fillId="7" borderId="0" xfId="1" applyNumberFormat="1" applyFont="1" applyFill="1" applyBorder="1"/>
    <xf numFmtId="164" fontId="32" fillId="3" borderId="62" xfId="1" applyNumberFormat="1" applyFont="1" applyFill="1" applyBorder="1"/>
    <xf numFmtId="164" fontId="32" fillId="3" borderId="9" xfId="1" applyNumberFormat="1" applyFont="1" applyFill="1" applyBorder="1"/>
    <xf numFmtId="164" fontId="10" fillId="7" borderId="29" xfId="1" applyNumberFormat="1" applyFont="1" applyFill="1" applyBorder="1"/>
    <xf numFmtId="164" fontId="10" fillId="7" borderId="9" xfId="1" applyNumberFormat="1" applyFont="1" applyFill="1" applyBorder="1"/>
    <xf numFmtId="164" fontId="33" fillId="7" borderId="29" xfId="1" applyNumberFormat="1" applyFont="1" applyFill="1" applyBorder="1"/>
    <xf numFmtId="164" fontId="33" fillId="7" borderId="9" xfId="1" applyNumberFormat="1" applyFont="1" applyFill="1" applyBorder="1"/>
    <xf numFmtId="164" fontId="3" fillId="7" borderId="66" xfId="1" applyNumberFormat="1" applyFont="1" applyFill="1" applyBorder="1"/>
    <xf numFmtId="164" fontId="32" fillId="3" borderId="63" xfId="1" applyNumberFormat="1" applyFont="1" applyFill="1" applyBorder="1"/>
    <xf numFmtId="164" fontId="10" fillId="7" borderId="25" xfId="1" applyNumberFormat="1" applyFont="1" applyFill="1" applyBorder="1"/>
    <xf numFmtId="164" fontId="33" fillId="7" borderId="25" xfId="1" applyNumberFormat="1" applyFont="1" applyFill="1" applyBorder="1"/>
    <xf numFmtId="165" fontId="35" fillId="3" borderId="63" xfId="1" applyNumberFormat="1" applyFont="1" applyFill="1" applyBorder="1"/>
    <xf numFmtId="165" fontId="36" fillId="7" borderId="25" xfId="1" applyNumberFormat="1" applyFont="1" applyFill="1" applyBorder="1"/>
    <xf numFmtId="43" fontId="35" fillId="3" borderId="63" xfId="1" applyFont="1" applyFill="1" applyBorder="1"/>
    <xf numFmtId="166" fontId="36" fillId="7" borderId="25" xfId="1" applyNumberFormat="1" applyFont="1" applyFill="1" applyBorder="1"/>
    <xf numFmtId="167" fontId="35" fillId="3" borderId="63" xfId="2" applyNumberFormat="1" applyFont="1" applyFill="1" applyBorder="1"/>
    <xf numFmtId="164" fontId="34" fillId="7" borderId="30" xfId="1" applyNumberFormat="1" applyFont="1" applyFill="1" applyBorder="1"/>
    <xf numFmtId="164" fontId="36" fillId="7" borderId="30" xfId="1" applyNumberFormat="1" applyFont="1" applyFill="1" applyBorder="1"/>
    <xf numFmtId="164" fontId="0" fillId="3" borderId="71" xfId="1" applyNumberFormat="1" applyFont="1" applyFill="1" applyBorder="1"/>
    <xf numFmtId="164" fontId="0" fillId="3" borderId="72" xfId="1" applyNumberFormat="1" applyFont="1" applyFill="1" applyBorder="1"/>
    <xf numFmtId="0" fontId="0" fillId="7" borderId="73" xfId="0" applyFill="1" applyBorder="1"/>
    <xf numFmtId="164" fontId="0" fillId="7" borderId="74" xfId="1" applyNumberFormat="1" applyFont="1" applyFill="1" applyBorder="1"/>
    <xf numFmtId="164" fontId="2" fillId="7" borderId="74" xfId="1" applyNumberFormat="1" applyFont="1" applyFill="1" applyBorder="1"/>
    <xf numFmtId="164" fontId="2" fillId="7" borderId="75" xfId="1" applyNumberFormat="1" applyFont="1" applyFill="1" applyBorder="1"/>
    <xf numFmtId="0" fontId="0" fillId="2" borderId="76" xfId="0" applyFill="1" applyBorder="1"/>
    <xf numFmtId="0" fontId="0" fillId="2" borderId="77" xfId="0" applyFill="1" applyBorder="1"/>
    <xf numFmtId="0" fontId="0" fillId="2" borderId="78" xfId="0" applyFill="1" applyBorder="1"/>
    <xf numFmtId="164" fontId="7" fillId="3" borderId="79" xfId="1" quotePrefix="1" applyNumberFormat="1" applyFont="1" applyFill="1" applyBorder="1" applyAlignment="1">
      <alignment horizontal="right" wrapText="1"/>
    </xf>
    <xf numFmtId="164" fontId="7" fillId="0" borderId="0" xfId="1" quotePrefix="1" applyNumberFormat="1" applyFont="1" applyBorder="1" applyAlignment="1">
      <alignment horizontal="center" vertical="center" wrapText="1"/>
    </xf>
    <xf numFmtId="0" fontId="5" fillId="2" borderId="80" xfId="0" applyFont="1" applyFill="1" applyBorder="1"/>
    <xf numFmtId="164" fontId="3" fillId="2" borderId="12" xfId="1" quotePrefix="1" applyNumberFormat="1" applyFont="1" applyFill="1" applyBorder="1" applyAlignment="1">
      <alignment horizontal="right" wrapText="1"/>
    </xf>
    <xf numFmtId="164" fontId="2" fillId="2" borderId="0" xfId="1" applyNumberFormat="1" applyFont="1" applyFill="1" applyBorder="1"/>
    <xf numFmtId="164" fontId="3" fillId="2" borderId="0" xfId="1" quotePrefix="1" applyNumberFormat="1" applyFont="1" applyFill="1" applyBorder="1" applyAlignment="1">
      <alignment horizontal="center"/>
    </xf>
    <xf numFmtId="164" fontId="9" fillId="2" borderId="81" xfId="1" quotePrefix="1" applyNumberFormat="1" applyFont="1" applyFill="1" applyBorder="1" applyAlignment="1">
      <alignment horizontal="center" vertical="center" wrapText="1"/>
    </xf>
    <xf numFmtId="164" fontId="9" fillId="2" borderId="82" xfId="1" quotePrefix="1" applyNumberFormat="1" applyFont="1" applyFill="1" applyBorder="1" applyAlignment="1">
      <alignment horizontal="center" wrapText="1"/>
    </xf>
    <xf numFmtId="164" fontId="7" fillId="3" borderId="83" xfId="1" quotePrefix="1" applyNumberFormat="1" applyFont="1" applyFill="1" applyBorder="1" applyAlignment="1">
      <alignment horizontal="right" wrapText="1"/>
    </xf>
    <xf numFmtId="164" fontId="3" fillId="2" borderId="14" xfId="1" quotePrefix="1" applyNumberFormat="1" applyFont="1" applyFill="1" applyBorder="1" applyAlignment="1">
      <alignment horizontal="right" wrapText="1"/>
    </xf>
    <xf numFmtId="164" fontId="9" fillId="2" borderId="84" xfId="1" quotePrefix="1" applyNumberFormat="1" applyFont="1" applyFill="1" applyBorder="1" applyAlignment="1">
      <alignment horizontal="center" wrapText="1"/>
    </xf>
    <xf numFmtId="164" fontId="8" fillId="2" borderId="84" xfId="1" applyNumberFormat="1" applyFont="1" applyFill="1" applyBorder="1" applyAlignment="1">
      <alignment vertical="center"/>
    </xf>
    <xf numFmtId="164" fontId="8" fillId="2" borderId="82" xfId="1" applyNumberFormat="1" applyFont="1" applyFill="1" applyBorder="1" applyAlignment="1">
      <alignment vertical="center"/>
    </xf>
    <xf numFmtId="164" fontId="1" fillId="3" borderId="85" xfId="1" applyNumberFormat="1" applyFont="1" applyFill="1" applyBorder="1"/>
    <xf numFmtId="164" fontId="1" fillId="3" borderId="85" xfId="1" applyNumberFormat="1" applyFont="1" applyFill="1" applyBorder="1" applyAlignment="1">
      <alignment horizontal="center" vertical="center"/>
    </xf>
    <xf numFmtId="0" fontId="0" fillId="2" borderId="80" xfId="0" applyFill="1" applyBorder="1"/>
    <xf numFmtId="164" fontId="2" fillId="2" borderId="16" xfId="1" applyNumberFormat="1" applyFont="1" applyFill="1" applyBorder="1"/>
    <xf numFmtId="164" fontId="8" fillId="2" borderId="86" xfId="1" applyNumberFormat="1" applyFont="1" applyFill="1" applyBorder="1"/>
    <xf numFmtId="164" fontId="8" fillId="2" borderId="82" xfId="1" applyNumberFormat="1" applyFont="1" applyFill="1" applyBorder="1"/>
    <xf numFmtId="164" fontId="0" fillId="3" borderId="83" xfId="1" applyNumberFormat="1" applyFont="1" applyFill="1" applyBorder="1"/>
    <xf numFmtId="164" fontId="2" fillId="2" borderId="14" xfId="1" applyNumberFormat="1" applyFont="1" applyFill="1" applyBorder="1"/>
    <xf numFmtId="164" fontId="8" fillId="2" borderId="84" xfId="1" applyNumberFormat="1" applyFont="1" applyFill="1" applyBorder="1"/>
    <xf numFmtId="164" fontId="2" fillId="0" borderId="0" xfId="1" applyNumberFormat="1" applyFont="1" applyBorder="1"/>
    <xf numFmtId="164" fontId="1" fillId="3" borderId="83" xfId="1" applyNumberFormat="1" applyFont="1" applyFill="1" applyBorder="1"/>
    <xf numFmtId="164" fontId="1" fillId="3" borderId="87" xfId="1" applyNumberFormat="1" applyFont="1" applyFill="1" applyBorder="1"/>
    <xf numFmtId="164" fontId="2" fillId="2" borderId="15" xfId="1" applyNumberFormat="1" applyFont="1" applyFill="1" applyBorder="1"/>
    <xf numFmtId="164" fontId="1" fillId="0" borderId="0" xfId="1" applyNumberFormat="1" applyFont="1" applyBorder="1"/>
    <xf numFmtId="164" fontId="1" fillId="0" borderId="0" xfId="1" applyNumberFormat="1" applyFont="1" applyBorder="1" applyAlignment="1">
      <alignment horizontal="center" vertical="center"/>
    </xf>
    <xf numFmtId="0" fontId="0" fillId="2" borderId="88" xfId="0" applyFill="1" applyBorder="1"/>
    <xf numFmtId="164" fontId="2" fillId="2" borderId="56" xfId="1" applyNumberFormat="1" applyFont="1" applyFill="1" applyBorder="1"/>
    <xf numFmtId="164" fontId="8" fillId="2" borderId="56" xfId="1" applyNumberFormat="1" applyFont="1" applyFill="1" applyBorder="1"/>
    <xf numFmtId="164" fontId="8" fillId="2" borderId="89" xfId="1" applyNumberFormat="1" applyFont="1" applyFill="1" applyBorder="1"/>
    <xf numFmtId="0" fontId="0" fillId="2" borderId="0" xfId="0" applyFill="1"/>
    <xf numFmtId="164" fontId="8" fillId="2" borderId="0" xfId="1" applyNumberFormat="1" applyFont="1" applyFill="1" applyBorder="1"/>
    <xf numFmtId="164" fontId="2" fillId="0" borderId="0" xfId="1" applyNumberFormat="1" applyFont="1" applyAlignment="1">
      <alignment horizontal="center" vertical="center"/>
    </xf>
    <xf numFmtId="164" fontId="2" fillId="7" borderId="76" xfId="1" applyNumberFormat="1" applyFont="1" applyFill="1" applyBorder="1"/>
    <xf numFmtId="164" fontId="2" fillId="7" borderId="77" xfId="1" applyNumberFormat="1" applyFont="1" applyFill="1" applyBorder="1"/>
    <xf numFmtId="164" fontId="2" fillId="7" borderId="78" xfId="1" applyNumberFormat="1" applyFont="1" applyFill="1" applyBorder="1"/>
    <xf numFmtId="0" fontId="5" fillId="7" borderId="80" xfId="0" applyFont="1" applyFill="1" applyBorder="1"/>
    <xf numFmtId="164" fontId="2" fillId="7" borderId="0" xfId="1" applyNumberFormat="1" applyFont="1" applyFill="1" applyBorder="1"/>
    <xf numFmtId="164" fontId="3" fillId="7" borderId="0" xfId="1" quotePrefix="1" applyNumberFormat="1" applyFont="1" applyFill="1" applyBorder="1" applyAlignment="1">
      <alignment horizontal="center"/>
    </xf>
    <xf numFmtId="164" fontId="9" fillId="7" borderId="82" xfId="1" quotePrefix="1" applyNumberFormat="1" applyFont="1" applyFill="1" applyBorder="1" applyAlignment="1">
      <alignment horizontal="center" wrapText="1"/>
    </xf>
    <xf numFmtId="0" fontId="0" fillId="7" borderId="80" xfId="0" applyFill="1" applyBorder="1"/>
    <xf numFmtId="164" fontId="2" fillId="7" borderId="14" xfId="1" applyNumberFormat="1" applyFont="1" applyFill="1" applyBorder="1"/>
    <xf numFmtId="164" fontId="8" fillId="7" borderId="84" xfId="1" applyNumberFormat="1" applyFont="1" applyFill="1" applyBorder="1" applyAlignment="1">
      <alignment vertical="center"/>
    </xf>
    <xf numFmtId="164" fontId="8" fillId="7" borderId="82" xfId="1" applyNumberFormat="1" applyFont="1" applyFill="1" applyBorder="1" applyAlignment="1">
      <alignment vertical="center"/>
    </xf>
    <xf numFmtId="164" fontId="2" fillId="7" borderId="15" xfId="1" applyNumberFormat="1" applyFont="1" applyFill="1" applyBorder="1"/>
    <xf numFmtId="164" fontId="2" fillId="7" borderId="16" xfId="1" applyNumberFormat="1" applyFont="1" applyFill="1" applyBorder="1"/>
    <xf numFmtId="164" fontId="8" fillId="7" borderId="86" xfId="1" applyNumberFormat="1" applyFont="1" applyFill="1" applyBorder="1"/>
    <xf numFmtId="164" fontId="8" fillId="7" borderId="82" xfId="1" applyNumberFormat="1" applyFont="1" applyFill="1" applyBorder="1"/>
    <xf numFmtId="164" fontId="2" fillId="0" borderId="0" xfId="1" applyNumberFormat="1" applyFont="1" applyBorder="1" applyAlignment="1">
      <alignment vertical="center"/>
    </xf>
    <xf numFmtId="164" fontId="1" fillId="3" borderId="83" xfId="1" applyNumberFormat="1" applyFont="1" applyFill="1" applyBorder="1" applyAlignment="1">
      <alignment vertical="center"/>
    </xf>
    <xf numFmtId="0" fontId="0" fillId="7" borderId="80" xfId="0" applyFill="1" applyBorder="1" applyAlignment="1">
      <alignment vertical="center"/>
    </xf>
    <xf numFmtId="164" fontId="2" fillId="7" borderId="14" xfId="1" applyNumberFormat="1" applyFont="1" applyFill="1" applyBorder="1" applyAlignment="1">
      <alignment vertical="center"/>
    </xf>
    <xf numFmtId="0" fontId="0" fillId="7" borderId="0" xfId="0" applyFill="1" applyAlignment="1">
      <alignment vertical="center"/>
    </xf>
    <xf numFmtId="164" fontId="2" fillId="7" borderId="0" xfId="1" applyNumberFormat="1" applyFont="1" applyFill="1" applyBorder="1" applyAlignment="1">
      <alignment vertical="center"/>
    </xf>
    <xf numFmtId="164" fontId="1" fillId="3" borderId="87" xfId="1" applyNumberFormat="1" applyFont="1" applyFill="1" applyBorder="1" applyAlignment="1">
      <alignment vertical="center"/>
    </xf>
    <xf numFmtId="164" fontId="2" fillId="7" borderId="15" xfId="1" applyNumberFormat="1" applyFont="1" applyFill="1" applyBorder="1" applyAlignment="1">
      <alignment vertical="center"/>
    </xf>
    <xf numFmtId="164" fontId="1" fillId="3" borderId="85" xfId="1" applyNumberFormat="1" applyFont="1" applyFill="1" applyBorder="1" applyAlignment="1">
      <alignment vertical="center"/>
    </xf>
    <xf numFmtId="164" fontId="2" fillId="7" borderId="16" xfId="1" applyNumberFormat="1" applyFont="1" applyFill="1" applyBorder="1" applyAlignment="1">
      <alignment vertical="center"/>
    </xf>
    <xf numFmtId="164" fontId="8" fillId="7" borderId="86" xfId="1" applyNumberFormat="1" applyFont="1" applyFill="1" applyBorder="1" applyAlignment="1">
      <alignment vertical="center"/>
    </xf>
    <xf numFmtId="0" fontId="1" fillId="3" borderId="83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164" fontId="0" fillId="3" borderId="90" xfId="1" applyNumberFormat="1" applyFont="1" applyFill="1" applyBorder="1"/>
    <xf numFmtId="164" fontId="0" fillId="0" borderId="0" xfId="1" applyNumberFormat="1" applyFont="1" applyBorder="1" applyAlignment="1">
      <alignment horizontal="center" vertical="center"/>
    </xf>
    <xf numFmtId="164" fontId="2" fillId="7" borderId="13" xfId="1" applyNumberFormat="1" applyFont="1" applyFill="1" applyBorder="1"/>
    <xf numFmtId="164" fontId="8" fillId="7" borderId="91" xfId="1" applyNumberFormat="1" applyFont="1" applyFill="1" applyBorder="1"/>
    <xf numFmtId="6" fontId="0" fillId="0" borderId="0" xfId="0" applyNumberFormat="1" applyAlignment="1">
      <alignment horizontal="left"/>
    </xf>
    <xf numFmtId="0" fontId="1" fillId="3" borderId="87" xfId="0" applyFont="1" applyFill="1" applyBorder="1" applyAlignment="1">
      <alignment vertical="center"/>
    </xf>
    <xf numFmtId="9" fontId="0" fillId="0" borderId="0" xfId="0" applyNumberFormat="1" applyAlignment="1">
      <alignment horizontal="left"/>
    </xf>
    <xf numFmtId="164" fontId="1" fillId="3" borderId="85" xfId="0" applyNumberFormat="1" applyFont="1" applyFill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2" fillId="7" borderId="16" xfId="0" applyNumberFormat="1" applyFont="1" applyFill="1" applyBorder="1" applyAlignment="1">
      <alignment vertical="center"/>
    </xf>
    <xf numFmtId="0" fontId="0" fillId="7" borderId="88" xfId="0" applyFill="1" applyBorder="1"/>
    <xf numFmtId="0" fontId="0" fillId="7" borderId="56" xfId="0" applyFill="1" applyBorder="1"/>
    <xf numFmtId="0" fontId="0" fillId="7" borderId="89" xfId="0" applyFill="1" applyBorder="1"/>
    <xf numFmtId="0" fontId="5" fillId="0" borderId="76" xfId="0" applyFont="1" applyBorder="1"/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0" fillId="0" borderId="80" xfId="0" applyBorder="1"/>
    <xf numFmtId="164" fontId="0" fillId="0" borderId="0" xfId="0" applyNumberFormat="1" applyAlignment="1">
      <alignment horizontal="center" vertical="center"/>
    </xf>
    <xf numFmtId="164" fontId="0" fillId="0" borderId="82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92" xfId="0" applyNumberFormat="1" applyBorder="1" applyAlignment="1">
      <alignment horizontal="center" vertical="center"/>
    </xf>
    <xf numFmtId="167" fontId="0" fillId="0" borderId="0" xfId="2" applyNumberFormat="1" applyFont="1" applyBorder="1" applyAlignment="1">
      <alignment horizontal="right" vertical="center"/>
    </xf>
    <xf numFmtId="167" fontId="0" fillId="0" borderId="82" xfId="2" applyNumberFormat="1" applyFont="1" applyBorder="1" applyAlignment="1">
      <alignment horizontal="right" vertical="center"/>
    </xf>
    <xf numFmtId="0" fontId="0" fillId="0" borderId="88" xfId="0" applyBorder="1"/>
    <xf numFmtId="168" fontId="0" fillId="0" borderId="56" xfId="0" applyNumberFormat="1" applyBorder="1" applyAlignment="1">
      <alignment horizontal="right" vertical="center"/>
    </xf>
    <xf numFmtId="168" fontId="0" fillId="0" borderId="89" xfId="0" applyNumberFormat="1" applyBorder="1" applyAlignment="1">
      <alignment horizontal="right" vertical="center"/>
    </xf>
    <xf numFmtId="168" fontId="0" fillId="0" borderId="0" xfId="0" applyNumberFormat="1" applyAlignment="1">
      <alignment horizontal="right" vertical="center"/>
    </xf>
    <xf numFmtId="168" fontId="0" fillId="0" borderId="0" xfId="2" applyNumberFormat="1" applyFont="1" applyBorder="1" applyAlignment="1">
      <alignment horizontal="left" vertical="center"/>
    </xf>
    <xf numFmtId="168" fontId="0" fillId="0" borderId="0" xfId="2" applyNumberFormat="1" applyFont="1" applyBorder="1" applyAlignment="1">
      <alignment horizontal="right" vertical="center"/>
    </xf>
    <xf numFmtId="0" fontId="5" fillId="0" borderId="0" xfId="0" quotePrefix="1" applyFont="1" applyAlignment="1">
      <alignment horizontal="right"/>
    </xf>
    <xf numFmtId="164" fontId="0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0" fillId="0" borderId="76" xfId="0" applyBorder="1"/>
    <xf numFmtId="0" fontId="5" fillId="0" borderId="77" xfId="0" quotePrefix="1" applyFont="1" applyBorder="1" applyAlignment="1">
      <alignment horizontal="right" wrapText="1"/>
    </xf>
    <xf numFmtId="0" fontId="5" fillId="0" borderId="78" xfId="0" quotePrefix="1" applyFont="1" applyBorder="1" applyAlignment="1">
      <alignment horizontal="right"/>
    </xf>
    <xf numFmtId="0" fontId="0" fillId="0" borderId="82" xfId="0" applyBorder="1"/>
    <xf numFmtId="0" fontId="0" fillId="0" borderId="2" xfId="0" applyBorder="1"/>
    <xf numFmtId="10" fontId="0" fillId="0" borderId="82" xfId="2" applyNumberFormat="1" applyFont="1" applyBorder="1"/>
    <xf numFmtId="0" fontId="5" fillId="0" borderId="80" xfId="0" quotePrefix="1" applyFont="1" applyBorder="1" applyAlignment="1">
      <alignment horizontal="right" vertical="center" wrapText="1"/>
    </xf>
    <xf numFmtId="166" fontId="0" fillId="0" borderId="4" xfId="0" applyNumberFormat="1" applyBorder="1" applyAlignment="1">
      <alignment vertical="center"/>
    </xf>
    <xf numFmtId="0" fontId="0" fillId="0" borderId="82" xfId="0" applyBorder="1" applyAlignment="1">
      <alignment vertical="center"/>
    </xf>
    <xf numFmtId="166" fontId="0" fillId="0" borderId="0" xfId="0" applyNumberFormat="1"/>
    <xf numFmtId="166" fontId="0" fillId="0" borderId="56" xfId="0" applyNumberFormat="1" applyBorder="1"/>
    <xf numFmtId="0" fontId="0" fillId="0" borderId="89" xfId="0" applyBorder="1"/>
    <xf numFmtId="168" fontId="0" fillId="0" borderId="0" xfId="2" applyNumberFormat="1" applyFont="1"/>
    <xf numFmtId="164" fontId="36" fillId="7" borderId="5" xfId="1" applyNumberFormat="1" applyFont="1" applyFill="1" applyBorder="1" applyAlignment="1"/>
    <xf numFmtId="164" fontId="0" fillId="0" borderId="1" xfId="1" applyNumberFormat="1" applyFont="1" applyBorder="1"/>
    <xf numFmtId="164" fontId="0" fillId="0" borderId="2" xfId="1" applyNumberFormat="1" applyFont="1" applyBorder="1"/>
    <xf numFmtId="164" fontId="5" fillId="0" borderId="4" xfId="1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0" fillId="3" borderId="65" xfId="0" applyFill="1" applyBorder="1"/>
    <xf numFmtId="0" fontId="0" fillId="3" borderId="5" xfId="0" applyFill="1" applyBorder="1"/>
    <xf numFmtId="164" fontId="0" fillId="3" borderId="5" xfId="0" applyNumberFormat="1" applyFill="1" applyBorder="1"/>
    <xf numFmtId="0" fontId="0" fillId="3" borderId="5" xfId="0" applyFill="1" applyBorder="1" applyAlignment="1">
      <alignment vertical="center"/>
    </xf>
    <xf numFmtId="164" fontId="0" fillId="3" borderId="9" xfId="0" applyNumberForma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5" fillId="3" borderId="5" xfId="0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2" fontId="5" fillId="0" borderId="0" xfId="1" applyNumberFormat="1" applyFont="1" applyBorder="1" applyAlignment="1">
      <alignment horizontal="center" vertical="center" wrapText="1"/>
    </xf>
    <xf numFmtId="0" fontId="1" fillId="0" borderId="0" xfId="0" applyFont="1"/>
    <xf numFmtId="15" fontId="1" fillId="6" borderId="0" xfId="0" applyNumberFormat="1" applyFont="1" applyFill="1" applyProtection="1">
      <protection locked="0"/>
    </xf>
    <xf numFmtId="0" fontId="1" fillId="6" borderId="0" xfId="0" applyFont="1" applyFill="1" applyProtection="1">
      <protection locked="0"/>
    </xf>
    <xf numFmtId="0" fontId="1" fillId="6" borderId="0" xfId="1" applyNumberFormat="1" applyFont="1" applyFill="1" applyAlignment="1" applyProtection="1">
      <alignment horizontal="right"/>
      <protection locked="0"/>
    </xf>
    <xf numFmtId="164" fontId="7" fillId="6" borderId="0" xfId="1" applyNumberFormat="1" applyFont="1" applyFill="1" applyAlignment="1" applyProtection="1">
      <alignment horizontal="center" vertical="center"/>
      <protection locked="0"/>
    </xf>
    <xf numFmtId="43" fontId="1" fillId="6" borderId="0" xfId="1" applyFont="1" applyFill="1" applyAlignment="1" applyProtection="1">
      <alignment horizontal="right"/>
      <protection locked="0"/>
    </xf>
    <xf numFmtId="43" fontId="1" fillId="0" borderId="0" xfId="1" applyFont="1"/>
    <xf numFmtId="2" fontId="1" fillId="0" borderId="0" xfId="0" applyNumberFormat="1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164" fontId="7" fillId="6" borderId="0" xfId="1" applyNumberFormat="1" applyFont="1" applyFill="1" applyAlignment="1" applyProtection="1">
      <alignment horizontal="left" vertical="center"/>
      <protection locked="0"/>
    </xf>
    <xf numFmtId="43" fontId="1" fillId="0" borderId="51" xfId="1" applyFont="1" applyBorder="1"/>
    <xf numFmtId="43" fontId="1" fillId="0" borderId="0" xfId="1" applyFont="1" applyBorder="1"/>
    <xf numFmtId="43" fontId="1" fillId="0" borderId="52" xfId="1" applyFont="1" applyBorder="1"/>
    <xf numFmtId="43" fontId="1" fillId="0" borderId="9" xfId="1" applyFont="1" applyBorder="1" applyAlignment="1">
      <alignment horizontal="right"/>
    </xf>
    <xf numFmtId="43" fontId="15" fillId="0" borderId="49" xfId="0" applyNumberFormat="1" applyFont="1" applyBorder="1" applyAlignment="1">
      <alignment horizontal="center" vertical="top" wrapText="1"/>
    </xf>
    <xf numFmtId="43" fontId="0" fillId="0" borderId="0" xfId="0" applyNumberFormat="1" applyAlignment="1">
      <alignment horizontal="left"/>
    </xf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0" xfId="0" applyFill="1"/>
    <xf numFmtId="0" fontId="2" fillId="3" borderId="0" xfId="1" applyNumberFormat="1" applyFont="1" applyFill="1" applyBorder="1" applyAlignment="1">
      <alignment horizontal="right"/>
    </xf>
    <xf numFmtId="0" fontId="23" fillId="3" borderId="0" xfId="1" applyNumberFormat="1" applyFont="1" applyFill="1" applyBorder="1"/>
    <xf numFmtId="43" fontId="0" fillId="3" borderId="25" xfId="1" applyFont="1" applyFill="1" applyBorder="1" applyAlignment="1" applyProtection="1">
      <alignment horizontal="right"/>
    </xf>
    <xf numFmtId="43" fontId="0" fillId="3" borderId="25" xfId="0" applyNumberFormat="1" applyFill="1" applyBorder="1"/>
    <xf numFmtId="0" fontId="10" fillId="3" borderId="29" xfId="0" applyFont="1" applyFill="1" applyBorder="1"/>
    <xf numFmtId="0" fontId="5" fillId="3" borderId="0" xfId="0" applyFont="1" applyFill="1" applyAlignment="1">
      <alignment vertical="center"/>
    </xf>
    <xf numFmtId="0" fontId="3" fillId="3" borderId="0" xfId="1" applyNumberFormat="1" applyFont="1" applyFill="1" applyBorder="1" applyAlignment="1">
      <alignment horizontal="right"/>
    </xf>
    <xf numFmtId="0" fontId="5" fillId="3" borderId="29" xfId="0" applyFont="1" applyFill="1" applyBorder="1"/>
    <xf numFmtId="43" fontId="5" fillId="3" borderId="47" xfId="1" applyFont="1" applyFill="1" applyBorder="1" applyAlignment="1">
      <alignment horizontal="right"/>
    </xf>
    <xf numFmtId="43" fontId="0" fillId="3" borderId="25" xfId="1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3" fillId="3" borderId="0" xfId="0" applyFont="1" applyFill="1"/>
    <xf numFmtId="43" fontId="0" fillId="3" borderId="93" xfId="0" applyNumberFormat="1" applyFill="1" applyBorder="1"/>
    <xf numFmtId="0" fontId="0" fillId="3" borderId="30" xfId="0" applyFill="1" applyBorder="1"/>
    <xf numFmtId="0" fontId="0" fillId="3" borderId="31" xfId="0" applyFill="1" applyBorder="1"/>
    <xf numFmtId="0" fontId="0" fillId="3" borderId="32" xfId="0" applyFill="1" applyBorder="1"/>
    <xf numFmtId="0" fontId="40" fillId="3" borderId="26" xfId="0" applyFont="1" applyFill="1" applyBorder="1" applyAlignment="1">
      <alignment vertical="center"/>
    </xf>
    <xf numFmtId="0" fontId="41" fillId="3" borderId="0" xfId="1" applyNumberFormat="1" applyFont="1" applyFill="1" applyBorder="1" applyAlignment="1">
      <alignment horizontal="right"/>
    </xf>
    <xf numFmtId="43" fontId="5" fillId="3" borderId="9" xfId="1" applyFont="1" applyFill="1" applyBorder="1" applyAlignment="1">
      <alignment vertical="center"/>
    </xf>
    <xf numFmtId="1" fontId="41" fillId="3" borderId="0" xfId="1" applyNumberFormat="1" applyFont="1" applyFill="1" applyBorder="1" applyAlignment="1">
      <alignment horizontal="right"/>
    </xf>
    <xf numFmtId="43" fontId="0" fillId="0" borderId="0" xfId="1" applyFont="1" applyBorder="1"/>
    <xf numFmtId="43" fontId="0" fillId="0" borderId="7" xfId="1" applyFont="1" applyBorder="1" applyAlignment="1">
      <alignment horizontal="right"/>
    </xf>
    <xf numFmtId="43" fontId="0" fillId="0" borderId="4" xfId="1" applyFont="1" applyBorder="1" applyAlignment="1">
      <alignment horizontal="right"/>
    </xf>
    <xf numFmtId="43" fontId="16" fillId="0" borderId="94" xfId="1" applyFont="1" applyBorder="1" applyAlignment="1">
      <alignment horizontal="right"/>
    </xf>
    <xf numFmtId="43" fontId="16" fillId="0" borderId="4" xfId="1" applyFont="1" applyBorder="1" applyAlignment="1">
      <alignment horizontal="right"/>
    </xf>
    <xf numFmtId="43" fontId="16" fillId="0" borderId="95" xfId="1" applyFont="1" applyBorder="1" applyAlignment="1">
      <alignment horizontal="right"/>
    </xf>
    <xf numFmtId="2" fontId="5" fillId="0" borderId="0" xfId="1" applyNumberFormat="1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2" fillId="0" borderId="0" xfId="1" applyNumberFormat="1" applyFont="1" applyAlignment="1">
      <alignment horizontal="center" vertical="center"/>
    </xf>
    <xf numFmtId="0" fontId="2" fillId="6" borderId="0" xfId="1" applyNumberFormat="1" applyFont="1" applyFill="1" applyAlignment="1" applyProtection="1">
      <alignment horizontal="center" vertical="center"/>
      <protection locked="0"/>
    </xf>
    <xf numFmtId="0" fontId="1" fillId="6" borderId="0" xfId="1" applyNumberFormat="1" applyFont="1" applyFill="1" applyAlignment="1" applyProtection="1">
      <alignment horizontal="center" vertical="center"/>
      <protection locked="0"/>
    </xf>
    <xf numFmtId="43" fontId="2" fillId="0" borderId="0" xfId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22" fillId="0" borderId="0" xfId="1" applyNumberFormat="1" applyFont="1" applyAlignment="1">
      <alignment horizontal="center" vertical="center" textRotation="90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 wrapText="1"/>
    </xf>
    <xf numFmtId="0" fontId="3" fillId="0" borderId="0" xfId="1" applyNumberFormat="1" applyFont="1" applyAlignment="1">
      <alignment horizontal="right" vertical="center" wrapText="1"/>
    </xf>
    <xf numFmtId="2" fontId="30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left" vertical="center" wrapText="1"/>
    </xf>
    <xf numFmtId="2" fontId="5" fillId="0" borderId="0" xfId="1" applyNumberFormat="1" applyFont="1" applyBorder="1" applyAlignment="1">
      <alignment horizontal="center" vertical="center" wrapText="1"/>
    </xf>
    <xf numFmtId="43" fontId="1" fillId="0" borderId="0" xfId="1" applyFont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3" fillId="0" borderId="0" xfId="1" applyNumberFormat="1" applyFont="1" applyAlignment="1">
      <alignment horizontal="center" vertical="center" wrapText="1"/>
    </xf>
    <xf numFmtId="164" fontId="32" fillId="3" borderId="62" xfId="1" quotePrefix="1" applyNumberFormat="1" applyFont="1" applyFill="1" applyBorder="1" applyAlignment="1">
      <alignment horizontal="center"/>
    </xf>
    <xf numFmtId="164" fontId="32" fillId="3" borderId="63" xfId="1" quotePrefix="1" applyNumberFormat="1" applyFont="1" applyFill="1" applyBorder="1" applyAlignment="1">
      <alignment horizontal="center"/>
    </xf>
    <xf numFmtId="164" fontId="10" fillId="7" borderId="26" xfId="1" quotePrefix="1" applyNumberFormat="1" applyFont="1" applyFill="1" applyBorder="1" applyAlignment="1">
      <alignment horizontal="center"/>
    </xf>
    <xf numFmtId="164" fontId="10" fillId="7" borderId="28" xfId="1" quotePrefix="1" applyNumberFormat="1" applyFont="1" applyFill="1" applyBorder="1" applyAlignment="1">
      <alignment horizontal="center"/>
    </xf>
    <xf numFmtId="164" fontId="33" fillId="7" borderId="26" xfId="1" quotePrefix="1" applyNumberFormat="1" applyFont="1" applyFill="1" applyBorder="1" applyAlignment="1">
      <alignment horizontal="center"/>
    </xf>
    <xf numFmtId="164" fontId="33" fillId="7" borderId="28" xfId="1" quotePrefix="1" applyNumberFormat="1" applyFont="1" applyFill="1" applyBorder="1" applyAlignment="1">
      <alignment horizontal="center"/>
    </xf>
    <xf numFmtId="164" fontId="9" fillId="4" borderId="36" xfId="1" quotePrefix="1" applyNumberFormat="1" applyFont="1" applyFill="1" applyBorder="1" applyAlignment="1">
      <alignment horizontal="center" vertical="center"/>
    </xf>
    <xf numFmtId="164" fontId="9" fillId="4" borderId="37" xfId="1" quotePrefix="1" applyNumberFormat="1" applyFont="1" applyFill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5" fillId="0" borderId="33" xfId="0" quotePrefix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2C4B7-00CA-624E-93F6-38FD68DB2BFF}">
  <sheetPr>
    <tabColor theme="9" tint="0.39997558519241921"/>
    <pageSetUpPr fitToPage="1"/>
  </sheetPr>
  <dimension ref="B1:BK144"/>
  <sheetViews>
    <sheetView tabSelected="1" topLeftCell="F51" zoomScale="137" zoomScaleNormal="80" workbookViewId="0">
      <selection activeCell="C16" sqref="C16:AE74"/>
    </sheetView>
  </sheetViews>
  <sheetFormatPr baseColWidth="10" defaultRowHeight="16" outlineLevelRow="2" outlineLevelCol="1" x14ac:dyDescent="0.2"/>
  <cols>
    <col min="1" max="1" width="4" customWidth="1"/>
    <col min="2" max="2" width="10.83203125" style="16"/>
    <col min="3" max="3" width="11.33203125" style="16" customWidth="1"/>
    <col min="4" max="4" width="2.5" customWidth="1"/>
    <col min="5" max="5" width="10.5" customWidth="1"/>
    <col min="6" max="6" width="26.5" customWidth="1"/>
    <col min="7" max="7" width="6.6640625" style="24" customWidth="1"/>
    <col min="8" max="8" width="6.6640625" style="537" customWidth="1"/>
    <col min="9" max="9" width="6.5" style="204" customWidth="1"/>
    <col min="10" max="10" width="6.5" style="45" customWidth="1"/>
    <col min="11" max="11" width="33.33203125" style="184" customWidth="1"/>
    <col min="12" max="12" width="11" style="28" customWidth="1"/>
    <col min="13" max="13" width="10.1640625" style="51" customWidth="1"/>
    <col min="14" max="14" width="11.1640625" style="2" customWidth="1"/>
    <col min="15" max="15" width="10.83203125" style="7" customWidth="1"/>
    <col min="16" max="16" width="10.1640625" customWidth="1"/>
    <col min="17" max="17" width="8.6640625" customWidth="1"/>
    <col min="18" max="18" width="12.1640625" customWidth="1"/>
    <col min="19" max="19" width="12.1640625" hidden="1" customWidth="1" outlineLevel="1"/>
    <col min="20" max="20" width="7.1640625" customWidth="1" collapsed="1"/>
    <col min="21" max="21" width="7.5" hidden="1" customWidth="1" outlineLevel="1"/>
    <col min="22" max="22" width="10.6640625" customWidth="1" collapsed="1"/>
    <col min="23" max="23" width="8.6640625" customWidth="1"/>
    <col min="24" max="24" width="10.6640625" customWidth="1"/>
    <col min="25" max="25" width="9.33203125" customWidth="1"/>
    <col min="26" max="26" width="10.33203125" customWidth="1"/>
    <col min="27" max="27" width="8.5" customWidth="1"/>
    <col min="28" max="29" width="9.33203125" customWidth="1"/>
    <col min="30" max="30" width="12.33203125" customWidth="1"/>
    <col min="31" max="31" width="8.6640625" style="214" customWidth="1"/>
    <col min="32" max="32" width="3.1640625" customWidth="1"/>
    <col min="33" max="36" width="0" style="36" hidden="1" customWidth="1" outlineLevel="1"/>
    <col min="37" max="38" width="0" hidden="1" customWidth="1" outlineLevel="1"/>
    <col min="39" max="39" width="2.83203125" customWidth="1" collapsed="1"/>
    <col min="40" max="40" width="30.83203125" customWidth="1"/>
    <col min="41" max="41" width="12.6640625" customWidth="1"/>
    <col min="42" max="42" width="9.83203125" style="119" customWidth="1" outlineLevel="1"/>
    <col min="43" max="43" width="12.83203125" customWidth="1" outlineLevel="1"/>
    <col min="44" max="44" width="11.5" style="119" customWidth="1" outlineLevel="1"/>
    <col min="45" max="45" width="9.33203125" customWidth="1"/>
    <col min="46" max="46" width="2.33203125" customWidth="1"/>
    <col min="47" max="47" width="11" customWidth="1"/>
    <col min="48" max="48" width="2.83203125" customWidth="1"/>
    <col min="49" max="49" width="11" customWidth="1"/>
    <col min="50" max="50" width="2.5" customWidth="1"/>
    <col min="55" max="55" width="12" customWidth="1"/>
    <col min="56" max="56" width="32.1640625" customWidth="1"/>
    <col min="57" max="57" width="7.6640625" customWidth="1"/>
    <col min="58" max="58" width="8" customWidth="1"/>
    <col min="59" max="59" width="11.83203125" bestFit="1" customWidth="1"/>
    <col min="60" max="60" width="13.1640625" bestFit="1" customWidth="1"/>
  </cols>
  <sheetData>
    <row r="1" spans="2:63" ht="17" thickBot="1" x14ac:dyDescent="0.25"/>
    <row r="2" spans="2:63" ht="33" customHeight="1" thickBot="1" x14ac:dyDescent="0.25">
      <c r="BC2" s="552" t="s">
        <v>175</v>
      </c>
      <c r="BD2" s="553"/>
      <c r="BE2" s="24"/>
      <c r="BF2" s="204"/>
      <c r="BG2" s="28"/>
      <c r="BH2" s="51"/>
      <c r="BI2" s="2"/>
      <c r="BJ2" s="7"/>
    </row>
    <row r="3" spans="2:63" s="1" customFormat="1" ht="29" customHeight="1" x14ac:dyDescent="0.2">
      <c r="B3" s="18"/>
      <c r="C3" s="18"/>
      <c r="H3" s="287"/>
      <c r="AE3" s="213"/>
      <c r="AG3" s="37"/>
      <c r="AH3" s="37"/>
      <c r="AI3" s="37"/>
      <c r="AJ3" s="37"/>
      <c r="AP3" s="136"/>
      <c r="AR3" s="136"/>
      <c r="BC3" s="13" t="s">
        <v>13</v>
      </c>
      <c r="BE3" s="185"/>
      <c r="BF3" s="203"/>
      <c r="BG3" s="31"/>
      <c r="BH3" s="162"/>
      <c r="BI3" s="2"/>
      <c r="BJ3" s="7"/>
    </row>
    <row r="4" spans="2:63" s="1" customFormat="1" ht="85" customHeight="1" x14ac:dyDescent="0.2">
      <c r="H4" s="287"/>
      <c r="Q4" s="55"/>
      <c r="R4" s="55"/>
      <c r="S4" s="55"/>
      <c r="T4" s="55"/>
      <c r="U4" s="55"/>
      <c r="V4" s="55"/>
      <c r="W4" s="59"/>
      <c r="AE4" s="213"/>
      <c r="AG4" s="37"/>
      <c r="AH4" s="37"/>
      <c r="AI4" s="37"/>
      <c r="AJ4" s="37"/>
      <c r="AP4" s="136"/>
      <c r="AR4" s="136"/>
      <c r="BC4" s="14" t="s">
        <v>277</v>
      </c>
      <c r="BE4" s="186"/>
      <c r="BF4" s="542" t="s">
        <v>162</v>
      </c>
      <c r="BG4" s="535" t="s">
        <v>73</v>
      </c>
      <c r="BH4" s="536" t="s">
        <v>0</v>
      </c>
      <c r="BI4" s="486" t="s">
        <v>288</v>
      </c>
      <c r="BJ4" s="486" t="s">
        <v>138</v>
      </c>
      <c r="BK4" s="486" t="s">
        <v>287</v>
      </c>
    </row>
    <row r="5" spans="2:63" x14ac:dyDescent="0.2">
      <c r="Q5" s="56"/>
      <c r="R5" s="56"/>
      <c r="S5" s="56"/>
      <c r="T5" s="56"/>
      <c r="U5" s="56"/>
      <c r="V5" s="56"/>
      <c r="W5" s="60"/>
      <c r="BC5" s="543" t="s">
        <v>129</v>
      </c>
      <c r="BD5" s="543" t="s">
        <v>130</v>
      </c>
      <c r="BE5" s="24"/>
      <c r="BF5" s="542"/>
      <c r="BG5" s="7"/>
      <c r="BH5" s="164"/>
      <c r="BI5" s="2"/>
      <c r="BJ5" s="56"/>
      <c r="BK5" s="56"/>
    </row>
    <row r="6" spans="2:63" x14ac:dyDescent="0.2">
      <c r="Q6" s="56"/>
      <c r="R6" s="56"/>
      <c r="S6" s="56"/>
      <c r="T6" s="56"/>
      <c r="U6" s="56"/>
      <c r="V6" s="56"/>
      <c r="W6" s="61"/>
      <c r="BC6" s="543"/>
      <c r="BD6" s="543"/>
      <c r="BE6" s="24"/>
      <c r="BF6" s="204"/>
      <c r="BG6" s="57">
        <f t="shared" ref="BG6:BG14" si="0">SUM(BH6:BK6)</f>
        <v>0</v>
      </c>
      <c r="BH6" s="164"/>
      <c r="BI6" s="2"/>
      <c r="BJ6" s="56"/>
      <c r="BK6" s="56"/>
    </row>
    <row r="7" spans="2:63" x14ac:dyDescent="0.2">
      <c r="B7" s="16">
        <f t="shared" ref="B7:B14" si="1">IF(BF7="Yes",0,BG7)</f>
        <v>0</v>
      </c>
      <c r="Q7" s="56"/>
      <c r="R7" s="56"/>
      <c r="S7" s="56"/>
      <c r="T7" s="56"/>
      <c r="U7" s="56"/>
      <c r="V7" s="56"/>
      <c r="W7" s="61"/>
      <c r="BC7" s="233">
        <v>45043</v>
      </c>
      <c r="BD7" s="234" t="s">
        <v>134</v>
      </c>
      <c r="BE7" s="235"/>
      <c r="BF7" s="236" t="s">
        <v>152</v>
      </c>
      <c r="BG7" s="57">
        <f t="shared" si="0"/>
        <v>6000</v>
      </c>
      <c r="BH7" s="237">
        <v>6000</v>
      </c>
      <c r="BI7" s="238"/>
      <c r="BJ7" s="239"/>
      <c r="BK7" s="239"/>
    </row>
    <row r="8" spans="2:63" x14ac:dyDescent="0.2">
      <c r="B8" s="16">
        <f t="shared" si="1"/>
        <v>0</v>
      </c>
      <c r="Q8" s="56"/>
      <c r="R8" s="56"/>
      <c r="S8" s="56"/>
      <c r="T8" s="56"/>
      <c r="U8" s="56"/>
      <c r="V8" s="56"/>
      <c r="W8" s="61"/>
      <c r="BC8" s="233">
        <v>45071</v>
      </c>
      <c r="BD8" s="234" t="s">
        <v>143</v>
      </c>
      <c r="BE8" s="235"/>
      <c r="BF8" s="236" t="s">
        <v>152</v>
      </c>
      <c r="BG8" s="57"/>
      <c r="BH8" s="237"/>
      <c r="BI8" s="238"/>
      <c r="BJ8" s="239"/>
      <c r="BK8" s="239"/>
    </row>
    <row r="9" spans="2:63" x14ac:dyDescent="0.2">
      <c r="B9" s="16">
        <f t="shared" si="1"/>
        <v>0</v>
      </c>
      <c r="Q9" s="56"/>
      <c r="R9" s="56"/>
      <c r="S9" s="56"/>
      <c r="T9" s="56"/>
      <c r="U9" s="56"/>
      <c r="V9" s="56"/>
      <c r="W9" s="61"/>
      <c r="BC9" s="233">
        <v>45197</v>
      </c>
      <c r="BD9" s="234" t="s">
        <v>134</v>
      </c>
      <c r="BE9" s="235"/>
      <c r="BF9" s="236" t="s">
        <v>152</v>
      </c>
      <c r="BG9" s="57">
        <v>6000</v>
      </c>
      <c r="BH9" s="237">
        <v>6000</v>
      </c>
      <c r="BI9" s="238"/>
      <c r="BJ9" s="239"/>
      <c r="BK9" s="239"/>
    </row>
    <row r="10" spans="2:63" x14ac:dyDescent="0.2">
      <c r="B10" s="16">
        <f t="shared" si="1"/>
        <v>0</v>
      </c>
      <c r="Q10" s="7"/>
      <c r="R10" s="7"/>
      <c r="S10" s="7"/>
      <c r="T10" s="7"/>
      <c r="U10" s="7"/>
      <c r="V10" s="7"/>
      <c r="W10" s="61"/>
      <c r="BC10" s="233">
        <v>45238</v>
      </c>
      <c r="BD10" s="234" t="s">
        <v>158</v>
      </c>
      <c r="BE10" s="235"/>
      <c r="BF10" s="236" t="s">
        <v>152</v>
      </c>
      <c r="BG10" s="57">
        <f t="shared" si="0"/>
        <v>336.75</v>
      </c>
      <c r="BH10" s="237"/>
      <c r="BI10" s="238"/>
      <c r="BJ10" s="239">
        <v>336.75</v>
      </c>
      <c r="BK10" s="240"/>
    </row>
    <row r="11" spans="2:63" x14ac:dyDescent="0.2">
      <c r="B11" s="16">
        <f t="shared" si="1"/>
        <v>0</v>
      </c>
      <c r="Q11" s="56"/>
      <c r="R11" s="56"/>
      <c r="S11" s="56"/>
      <c r="T11" s="56"/>
      <c r="U11" s="56"/>
      <c r="V11" s="56"/>
      <c r="W11" s="61"/>
      <c r="BC11" s="233">
        <v>45238</v>
      </c>
      <c r="BD11" s="234" t="s">
        <v>163</v>
      </c>
      <c r="BE11" s="235"/>
      <c r="BF11" s="236" t="s">
        <v>152</v>
      </c>
      <c r="BG11" s="57">
        <f t="shared" si="0"/>
        <v>39.75</v>
      </c>
      <c r="BH11" s="237"/>
      <c r="BI11" s="238"/>
      <c r="BJ11" s="239">
        <v>39.75</v>
      </c>
      <c r="BK11" s="239"/>
    </row>
    <row r="12" spans="2:63" x14ac:dyDescent="0.2">
      <c r="B12" s="16">
        <f t="shared" si="1"/>
        <v>0</v>
      </c>
      <c r="Q12" s="56"/>
      <c r="R12" s="56"/>
      <c r="S12" s="56"/>
      <c r="T12" s="56"/>
      <c r="U12" s="56"/>
      <c r="V12" s="56"/>
      <c r="W12" s="61"/>
      <c r="BC12" s="233">
        <v>45378</v>
      </c>
      <c r="BD12" s="234" t="s">
        <v>178</v>
      </c>
      <c r="BE12" s="235"/>
      <c r="BF12" s="236" t="s">
        <v>152</v>
      </c>
      <c r="BG12" s="57">
        <f t="shared" si="0"/>
        <v>1590</v>
      </c>
      <c r="BH12" s="237"/>
      <c r="BI12" s="238">
        <v>1590</v>
      </c>
      <c r="BJ12" s="239"/>
      <c r="BK12" s="239"/>
    </row>
    <row r="13" spans="2:63" x14ac:dyDescent="0.2">
      <c r="B13" s="16">
        <f t="shared" si="1"/>
        <v>0</v>
      </c>
      <c r="Q13" s="56"/>
      <c r="R13" s="56"/>
      <c r="S13" s="56"/>
      <c r="T13" s="56"/>
      <c r="U13" s="56"/>
      <c r="V13" s="56"/>
      <c r="W13" s="61"/>
      <c r="BC13" s="233"/>
      <c r="BD13" s="234"/>
      <c r="BE13" s="235"/>
      <c r="BF13" s="236" t="s">
        <v>153</v>
      </c>
      <c r="BG13" s="57">
        <f t="shared" si="0"/>
        <v>0</v>
      </c>
      <c r="BH13" s="237"/>
      <c r="BI13" s="238"/>
      <c r="BJ13" s="239"/>
      <c r="BK13" s="239"/>
    </row>
    <row r="14" spans="2:63" x14ac:dyDescent="0.2">
      <c r="B14" s="16">
        <f t="shared" si="1"/>
        <v>0</v>
      </c>
      <c r="Q14" s="56"/>
      <c r="R14" s="56"/>
      <c r="S14" s="56"/>
      <c r="T14" s="56"/>
      <c r="U14" s="56"/>
      <c r="V14" s="56"/>
      <c r="W14" s="61"/>
      <c r="BC14" s="233"/>
      <c r="BD14" s="234"/>
      <c r="BE14" s="235"/>
      <c r="BF14" s="236" t="s">
        <v>153</v>
      </c>
      <c r="BG14" s="57">
        <f t="shared" si="0"/>
        <v>0</v>
      </c>
      <c r="BH14" s="237"/>
      <c r="BI14" s="238"/>
      <c r="BJ14" s="239"/>
      <c r="BK14" s="239"/>
    </row>
    <row r="15" spans="2:63" x14ac:dyDescent="0.2">
      <c r="Q15" s="9"/>
      <c r="R15" s="9"/>
      <c r="S15" s="9"/>
      <c r="T15" s="9"/>
      <c r="U15" s="9"/>
      <c r="V15" s="9"/>
      <c r="BE15" s="24"/>
      <c r="BF15" s="204"/>
      <c r="BG15" s="58">
        <f>SUM(BG5:BG14)</f>
        <v>13966.5</v>
      </c>
      <c r="BH15" s="58">
        <f>SUM(BH5:BH14)</f>
        <v>12000</v>
      </c>
      <c r="BI15" s="58">
        <f>SUM(BI5:BI14)</f>
        <v>1590</v>
      </c>
      <c r="BJ15" s="58">
        <f>SUM(BJ5:BJ14)</f>
        <v>376.5</v>
      </c>
      <c r="BK15" s="58">
        <f>SUM(BK5:BK14)</f>
        <v>0</v>
      </c>
    </row>
    <row r="16" spans="2:63" s="53" customFormat="1" ht="24" customHeight="1" thickBot="1" x14ac:dyDescent="0.25">
      <c r="B16" s="17"/>
      <c r="C16" s="551" t="s">
        <v>279</v>
      </c>
      <c r="E16" s="543" t="s">
        <v>129</v>
      </c>
      <c r="F16" s="543" t="s">
        <v>281</v>
      </c>
      <c r="G16" s="547" t="s">
        <v>9</v>
      </c>
      <c r="H16" s="554" t="s">
        <v>289</v>
      </c>
      <c r="I16" s="542" t="s">
        <v>162</v>
      </c>
      <c r="J16" s="546" t="s">
        <v>58</v>
      </c>
      <c r="K16" s="549" t="s">
        <v>149</v>
      </c>
      <c r="L16" s="544" t="s">
        <v>74</v>
      </c>
      <c r="M16" s="545" t="s">
        <v>48</v>
      </c>
      <c r="N16" s="544" t="s">
        <v>75</v>
      </c>
      <c r="O16" s="544" t="s">
        <v>6</v>
      </c>
      <c r="P16" s="544" t="s">
        <v>43</v>
      </c>
      <c r="Q16" s="544"/>
      <c r="R16" s="544"/>
      <c r="S16" s="544"/>
      <c r="T16" s="544"/>
      <c r="U16" s="544"/>
      <c r="V16" s="544"/>
      <c r="W16" s="544" t="s">
        <v>46</v>
      </c>
      <c r="X16" s="544" t="s">
        <v>68</v>
      </c>
      <c r="Y16" s="544" t="s">
        <v>4</v>
      </c>
      <c r="Z16" s="544" t="s">
        <v>44</v>
      </c>
      <c r="AA16" s="544" t="s">
        <v>45</v>
      </c>
      <c r="AB16" s="544" t="s">
        <v>136</v>
      </c>
      <c r="AC16" s="544" t="s">
        <v>47</v>
      </c>
      <c r="AD16" s="544" t="s">
        <v>179</v>
      </c>
      <c r="AE16" s="548" t="s">
        <v>72</v>
      </c>
      <c r="AP16" s="137"/>
      <c r="AR16" s="137"/>
    </row>
    <row r="17" spans="2:60" ht="68" customHeight="1" thickTop="1" x14ac:dyDescent="0.2">
      <c r="B17" s="17" t="s">
        <v>18</v>
      </c>
      <c r="C17" s="551"/>
      <c r="E17" s="543"/>
      <c r="F17" s="543"/>
      <c r="G17" s="547"/>
      <c r="H17" s="554"/>
      <c r="I17" s="542"/>
      <c r="J17" s="546"/>
      <c r="K17" s="549"/>
      <c r="L17" s="544"/>
      <c r="M17" s="545"/>
      <c r="N17" s="544"/>
      <c r="O17" s="544"/>
      <c r="P17" s="218" t="s">
        <v>169</v>
      </c>
      <c r="Q17" s="503" t="s">
        <v>278</v>
      </c>
      <c r="R17" s="219" t="s">
        <v>151</v>
      </c>
      <c r="S17" s="219" t="s">
        <v>150</v>
      </c>
      <c r="T17" s="220" t="s">
        <v>148</v>
      </c>
      <c r="U17" s="220" t="s">
        <v>147</v>
      </c>
      <c r="V17" s="174" t="s">
        <v>73</v>
      </c>
      <c r="W17" s="544"/>
      <c r="X17" s="544"/>
      <c r="Y17" s="544"/>
      <c r="Z17" s="544"/>
      <c r="AA17" s="544"/>
      <c r="AB17" s="544"/>
      <c r="AC17" s="544"/>
      <c r="AD17" s="544"/>
      <c r="AE17" s="548"/>
      <c r="AF17" s="61"/>
    </row>
    <row r="18" spans="2:60" outlineLevel="1" x14ac:dyDescent="0.2">
      <c r="C18" s="16">
        <f>IF(I18="Yes",0,L18)</f>
        <v>0</v>
      </c>
      <c r="E18" s="233">
        <v>45036</v>
      </c>
      <c r="F18" s="234" t="s">
        <v>131</v>
      </c>
      <c r="G18" s="235">
        <v>1263</v>
      </c>
      <c r="H18" s="538">
        <v>55</v>
      </c>
      <c r="I18" s="236" t="s">
        <v>152</v>
      </c>
      <c r="J18" s="241" t="s">
        <v>153</v>
      </c>
      <c r="K18" s="242" t="s">
        <v>47</v>
      </c>
      <c r="L18" s="240">
        <v>331.24</v>
      </c>
      <c r="M18" s="7">
        <f t="shared" ref="M18:M41" si="2">IF(J18="Yes",L18/6,0)</f>
        <v>0</v>
      </c>
      <c r="N18" s="7">
        <f t="shared" ref="N18:N19" si="3">L18-M18</f>
        <v>331.24</v>
      </c>
      <c r="O18" s="217">
        <f t="shared" ref="O18:O37" si="4">IF(K18="Staff costs (incl payroll mgt fees)",N18,0)</f>
        <v>0</v>
      </c>
      <c r="P18" s="221">
        <f t="shared" ref="P18:P37" si="5">IF(K18="Play area Gardening &amp; Safety Checks",N18,0)</f>
        <v>0</v>
      </c>
      <c r="Q18" s="222">
        <f t="shared" ref="Q18:Q37" si="6">IF(K18="Twinning Garden costs (50% share)",N18,0)</f>
        <v>0</v>
      </c>
      <c r="R18" s="222">
        <f t="shared" ref="R18:R37" si="7">IF(K18="Playground maintenance",N18,0)</f>
        <v>0</v>
      </c>
      <c r="S18" s="222">
        <f t="shared" ref="S18:S37" si="8">IF(K18="Playing Field maintenance",N18,0)</f>
        <v>0</v>
      </c>
      <c r="T18" s="223">
        <f t="shared" ref="T18:T37" si="9">IF(K18="RoSPA",N18,0)</f>
        <v>0</v>
      </c>
      <c r="U18" s="223">
        <f t="shared" ref="U18:U37" si="10">IF(K18="CCTV",N18,0)</f>
        <v>0</v>
      </c>
      <c r="V18" s="56"/>
      <c r="W18" s="217">
        <f t="shared" ref="W18:W37" si="11">IF(K18="Meeting costs",N18,0)</f>
        <v>0</v>
      </c>
      <c r="X18" s="217">
        <f t="shared" ref="X18:X37" si="12">IF(K18="New Assets",N18,0)</f>
        <v>0</v>
      </c>
      <c r="Y18" s="217">
        <f t="shared" ref="Y18:Y37" si="13">IF(K18="Insurance",N18,0)</f>
        <v>0</v>
      </c>
      <c r="Z18" s="217">
        <f t="shared" ref="Z18:Z37" si="14">IF(K18="Councillor training",N18,0)</f>
        <v>0</v>
      </c>
      <c r="AA18" s="217">
        <f t="shared" ref="AA18:AA37" si="15">IF(K18="s. 137 costs",N18,0)</f>
        <v>0</v>
      </c>
      <c r="AB18" s="217">
        <f t="shared" ref="AB18:AB37" si="16">IF(K18="May 23 local election costs",N18,0)</f>
        <v>0</v>
      </c>
      <c r="AC18" s="217">
        <f t="shared" ref="AC18:AC49" si="17">IF(K18="All other costs",N18,0)</f>
        <v>331.24</v>
      </c>
      <c r="AD18" s="217">
        <f t="shared" ref="AD18:AD49" si="18">IF(K18="Prepayment for 2024/25",N18,0)</f>
        <v>0</v>
      </c>
      <c r="AE18" s="212">
        <f>SUM(O18:AD18)-N18</f>
        <v>0</v>
      </c>
      <c r="AF18" s="61"/>
      <c r="BH18" s="184"/>
    </row>
    <row r="19" spans="2:60" outlineLevel="1" x14ac:dyDescent="0.2">
      <c r="C19" s="16">
        <f t="shared" ref="C19:C66" si="19">IF(I19="Yes",0,L19)</f>
        <v>0</v>
      </c>
      <c r="E19" s="233">
        <v>45036</v>
      </c>
      <c r="F19" s="234" t="s">
        <v>132</v>
      </c>
      <c r="G19" s="235">
        <v>1265</v>
      </c>
      <c r="H19" s="538">
        <v>56</v>
      </c>
      <c r="I19" s="236" t="s">
        <v>152</v>
      </c>
      <c r="J19" s="241" t="s">
        <v>153</v>
      </c>
      <c r="K19" s="242" t="s">
        <v>45</v>
      </c>
      <c r="L19" s="240">
        <v>100</v>
      </c>
      <c r="M19" s="7">
        <f t="shared" si="2"/>
        <v>0</v>
      </c>
      <c r="N19" s="7">
        <f t="shared" si="3"/>
        <v>100</v>
      </c>
      <c r="O19" s="217">
        <f t="shared" si="4"/>
        <v>0</v>
      </c>
      <c r="P19" s="221">
        <f t="shared" si="5"/>
        <v>0</v>
      </c>
      <c r="Q19" s="222">
        <f t="shared" si="6"/>
        <v>0</v>
      </c>
      <c r="R19" s="222">
        <f t="shared" si="7"/>
        <v>0</v>
      </c>
      <c r="S19" s="222">
        <f t="shared" si="8"/>
        <v>0</v>
      </c>
      <c r="T19" s="223">
        <f t="shared" si="9"/>
        <v>0</v>
      </c>
      <c r="U19" s="223">
        <f t="shared" si="10"/>
        <v>0</v>
      </c>
      <c r="V19" s="56"/>
      <c r="W19" s="217">
        <f t="shared" si="11"/>
        <v>0</v>
      </c>
      <c r="X19" s="217">
        <f t="shared" si="12"/>
        <v>0</v>
      </c>
      <c r="Y19" s="217">
        <f t="shared" si="13"/>
        <v>0</v>
      </c>
      <c r="Z19" s="217">
        <f t="shared" si="14"/>
        <v>0</v>
      </c>
      <c r="AA19" s="217">
        <f t="shared" si="15"/>
        <v>100</v>
      </c>
      <c r="AB19" s="217">
        <f t="shared" si="16"/>
        <v>0</v>
      </c>
      <c r="AC19" s="217">
        <f t="shared" si="17"/>
        <v>0</v>
      </c>
      <c r="AD19" s="217">
        <f t="shared" si="18"/>
        <v>0</v>
      </c>
      <c r="AE19" s="212">
        <f t="shared" ref="AE19:AE66" si="20">SUM(O19:AD19)-N19</f>
        <v>0</v>
      </c>
      <c r="AF19" s="61"/>
      <c r="BH19" s="184"/>
    </row>
    <row r="20" spans="2:60" outlineLevel="1" x14ac:dyDescent="0.2">
      <c r="C20" s="16">
        <f t="shared" si="19"/>
        <v>0</v>
      </c>
      <c r="E20" s="233">
        <v>45036</v>
      </c>
      <c r="F20" s="234" t="s">
        <v>133</v>
      </c>
      <c r="G20" s="235">
        <v>1266</v>
      </c>
      <c r="H20" s="538">
        <v>57</v>
      </c>
      <c r="I20" s="236" t="s">
        <v>152</v>
      </c>
      <c r="J20" s="241" t="s">
        <v>153</v>
      </c>
      <c r="K20" s="242" t="s">
        <v>47</v>
      </c>
      <c r="L20" s="240">
        <v>125</v>
      </c>
      <c r="M20" s="7">
        <f t="shared" si="2"/>
        <v>0</v>
      </c>
      <c r="N20" s="7">
        <f t="shared" ref="N20:N38" si="21">L20-M20</f>
        <v>125</v>
      </c>
      <c r="O20" s="217">
        <f t="shared" si="4"/>
        <v>0</v>
      </c>
      <c r="P20" s="221">
        <f t="shared" si="5"/>
        <v>0</v>
      </c>
      <c r="Q20" s="222">
        <f t="shared" si="6"/>
        <v>0</v>
      </c>
      <c r="R20" s="222">
        <f t="shared" si="7"/>
        <v>0</v>
      </c>
      <c r="S20" s="222">
        <f t="shared" si="8"/>
        <v>0</v>
      </c>
      <c r="T20" s="223">
        <f t="shared" si="9"/>
        <v>0</v>
      </c>
      <c r="U20" s="223">
        <f t="shared" si="10"/>
        <v>0</v>
      </c>
      <c r="V20" s="56"/>
      <c r="W20" s="217">
        <f t="shared" si="11"/>
        <v>0</v>
      </c>
      <c r="X20" s="217">
        <f t="shared" si="12"/>
        <v>0</v>
      </c>
      <c r="Y20" s="217">
        <f t="shared" si="13"/>
        <v>0</v>
      </c>
      <c r="Z20" s="217">
        <f t="shared" si="14"/>
        <v>0</v>
      </c>
      <c r="AA20" s="217">
        <f t="shared" si="15"/>
        <v>0</v>
      </c>
      <c r="AB20" s="217">
        <f t="shared" si="16"/>
        <v>0</v>
      </c>
      <c r="AC20" s="217">
        <f t="shared" si="17"/>
        <v>125</v>
      </c>
      <c r="AD20" s="217">
        <f t="shared" si="18"/>
        <v>0</v>
      </c>
      <c r="AE20" s="212">
        <f t="shared" si="20"/>
        <v>0</v>
      </c>
      <c r="AF20" s="61"/>
      <c r="BH20" s="184"/>
    </row>
    <row r="21" spans="2:60" outlineLevel="1" x14ac:dyDescent="0.2">
      <c r="C21" s="16">
        <f t="shared" si="19"/>
        <v>0</v>
      </c>
      <c r="E21" s="233">
        <v>45036</v>
      </c>
      <c r="F21" s="234" t="s">
        <v>145</v>
      </c>
      <c r="G21" s="235">
        <v>1267</v>
      </c>
      <c r="H21" s="538">
        <v>58</v>
      </c>
      <c r="I21" s="236" t="s">
        <v>152</v>
      </c>
      <c r="J21" s="241" t="s">
        <v>153</v>
      </c>
      <c r="K21" s="242" t="s">
        <v>169</v>
      </c>
      <c r="L21" s="240">
        <v>60</v>
      </c>
      <c r="M21" s="7">
        <f t="shared" si="2"/>
        <v>0</v>
      </c>
      <c r="N21" s="7">
        <f t="shared" si="21"/>
        <v>60</v>
      </c>
      <c r="O21" s="217">
        <f t="shared" si="4"/>
        <v>0</v>
      </c>
      <c r="P21" s="221">
        <f t="shared" si="5"/>
        <v>60</v>
      </c>
      <c r="Q21" s="222">
        <f t="shared" si="6"/>
        <v>0</v>
      </c>
      <c r="R21" s="222">
        <f t="shared" si="7"/>
        <v>0</v>
      </c>
      <c r="S21" s="222">
        <f t="shared" si="8"/>
        <v>0</v>
      </c>
      <c r="T21" s="223">
        <f t="shared" si="9"/>
        <v>0</v>
      </c>
      <c r="U21" s="223">
        <f t="shared" si="10"/>
        <v>0</v>
      </c>
      <c r="V21" s="56"/>
      <c r="W21" s="217">
        <f t="shared" si="11"/>
        <v>0</v>
      </c>
      <c r="X21" s="217">
        <f t="shared" si="12"/>
        <v>0</v>
      </c>
      <c r="Y21" s="217">
        <f t="shared" si="13"/>
        <v>0</v>
      </c>
      <c r="Z21" s="217">
        <f t="shared" si="14"/>
        <v>0</v>
      </c>
      <c r="AA21" s="217">
        <f t="shared" si="15"/>
        <v>0</v>
      </c>
      <c r="AB21" s="217">
        <f t="shared" si="16"/>
        <v>0</v>
      </c>
      <c r="AC21" s="217">
        <f t="shared" si="17"/>
        <v>0</v>
      </c>
      <c r="AD21" s="217">
        <f t="shared" si="18"/>
        <v>0</v>
      </c>
      <c r="AE21" s="212">
        <f t="shared" si="20"/>
        <v>0</v>
      </c>
      <c r="AF21" s="61"/>
      <c r="BH21" s="184"/>
    </row>
    <row r="22" spans="2:60" outlineLevel="1" x14ac:dyDescent="0.2">
      <c r="C22" s="16">
        <f t="shared" si="19"/>
        <v>0</v>
      </c>
      <c r="E22" s="233">
        <v>45036</v>
      </c>
      <c r="F22" s="234" t="s">
        <v>53</v>
      </c>
      <c r="G22" s="235">
        <v>1268</v>
      </c>
      <c r="H22" s="538">
        <v>59</v>
      </c>
      <c r="I22" s="236" t="s">
        <v>152</v>
      </c>
      <c r="J22" s="241" t="s">
        <v>153</v>
      </c>
      <c r="K22" s="242" t="s">
        <v>46</v>
      </c>
      <c r="L22" s="240">
        <v>60</v>
      </c>
      <c r="M22" s="7">
        <f t="shared" si="2"/>
        <v>0</v>
      </c>
      <c r="N22" s="7">
        <f t="shared" si="21"/>
        <v>60</v>
      </c>
      <c r="O22" s="217">
        <f t="shared" si="4"/>
        <v>0</v>
      </c>
      <c r="P22" s="221">
        <f t="shared" si="5"/>
        <v>0</v>
      </c>
      <c r="Q22" s="222">
        <f t="shared" si="6"/>
        <v>0</v>
      </c>
      <c r="R22" s="222">
        <f t="shared" si="7"/>
        <v>0</v>
      </c>
      <c r="S22" s="222">
        <f t="shared" si="8"/>
        <v>0</v>
      </c>
      <c r="T22" s="223">
        <f t="shared" si="9"/>
        <v>0</v>
      </c>
      <c r="U22" s="223">
        <f t="shared" si="10"/>
        <v>0</v>
      </c>
      <c r="V22" s="56"/>
      <c r="W22" s="217">
        <f t="shared" si="11"/>
        <v>60</v>
      </c>
      <c r="X22" s="217">
        <f t="shared" si="12"/>
        <v>0</v>
      </c>
      <c r="Y22" s="217">
        <f t="shared" si="13"/>
        <v>0</v>
      </c>
      <c r="Z22" s="217">
        <f t="shared" si="14"/>
        <v>0</v>
      </c>
      <c r="AA22" s="217">
        <f t="shared" si="15"/>
        <v>0</v>
      </c>
      <c r="AB22" s="217">
        <f t="shared" si="16"/>
        <v>0</v>
      </c>
      <c r="AC22" s="217">
        <f t="shared" si="17"/>
        <v>0</v>
      </c>
      <c r="AD22" s="217">
        <f t="shared" si="18"/>
        <v>0</v>
      </c>
      <c r="AE22" s="212">
        <f t="shared" si="20"/>
        <v>0</v>
      </c>
      <c r="AF22" s="61"/>
      <c r="BH22" s="184"/>
    </row>
    <row r="23" spans="2:60" outlineLevel="1" x14ac:dyDescent="0.2">
      <c r="C23" s="16">
        <f t="shared" si="19"/>
        <v>0</v>
      </c>
      <c r="E23" s="233">
        <v>45058</v>
      </c>
      <c r="F23" s="234" t="s">
        <v>53</v>
      </c>
      <c r="G23" s="235">
        <v>1269</v>
      </c>
      <c r="H23" s="538">
        <v>60</v>
      </c>
      <c r="I23" s="236" t="s">
        <v>152</v>
      </c>
      <c r="J23" s="241" t="s">
        <v>153</v>
      </c>
      <c r="K23" s="242" t="s">
        <v>46</v>
      </c>
      <c r="L23" s="240">
        <v>60</v>
      </c>
      <c r="M23" s="7">
        <f t="shared" si="2"/>
        <v>0</v>
      </c>
      <c r="N23" s="7">
        <f t="shared" si="21"/>
        <v>60</v>
      </c>
      <c r="O23" s="217">
        <f t="shared" si="4"/>
        <v>0</v>
      </c>
      <c r="P23" s="221">
        <f t="shared" si="5"/>
        <v>0</v>
      </c>
      <c r="Q23" s="222">
        <f t="shared" si="6"/>
        <v>0</v>
      </c>
      <c r="R23" s="222">
        <f t="shared" si="7"/>
        <v>0</v>
      </c>
      <c r="S23" s="222">
        <f t="shared" si="8"/>
        <v>0</v>
      </c>
      <c r="T23" s="223">
        <f t="shared" si="9"/>
        <v>0</v>
      </c>
      <c r="U23" s="223">
        <f t="shared" si="10"/>
        <v>0</v>
      </c>
      <c r="V23" s="56"/>
      <c r="W23" s="217">
        <f t="shared" si="11"/>
        <v>60</v>
      </c>
      <c r="X23" s="217">
        <f t="shared" si="12"/>
        <v>0</v>
      </c>
      <c r="Y23" s="217">
        <f t="shared" si="13"/>
        <v>0</v>
      </c>
      <c r="Z23" s="217">
        <f t="shared" si="14"/>
        <v>0</v>
      </c>
      <c r="AA23" s="217">
        <f t="shared" si="15"/>
        <v>0</v>
      </c>
      <c r="AB23" s="217">
        <f t="shared" si="16"/>
        <v>0</v>
      </c>
      <c r="AC23" s="217">
        <f t="shared" si="17"/>
        <v>0</v>
      </c>
      <c r="AD23" s="217">
        <f t="shared" si="18"/>
        <v>0</v>
      </c>
      <c r="AE23" s="212">
        <f t="shared" si="20"/>
        <v>0</v>
      </c>
      <c r="AF23" s="61"/>
      <c r="BH23" s="184"/>
    </row>
    <row r="24" spans="2:60" outlineLevel="1" x14ac:dyDescent="0.2">
      <c r="C24" s="16">
        <f t="shared" si="19"/>
        <v>0</v>
      </c>
      <c r="E24" s="233">
        <v>45058</v>
      </c>
      <c r="F24" s="234" t="s">
        <v>145</v>
      </c>
      <c r="G24" s="235">
        <v>1270</v>
      </c>
      <c r="H24" s="538">
        <v>61</v>
      </c>
      <c r="I24" s="236" t="s">
        <v>152</v>
      </c>
      <c r="J24" s="241" t="s">
        <v>153</v>
      </c>
      <c r="K24" s="242" t="s">
        <v>169</v>
      </c>
      <c r="L24" s="240">
        <v>87.5</v>
      </c>
      <c r="M24" s="7">
        <f t="shared" si="2"/>
        <v>0</v>
      </c>
      <c r="N24" s="7">
        <f t="shared" si="21"/>
        <v>87.5</v>
      </c>
      <c r="O24" s="217">
        <f t="shared" si="4"/>
        <v>0</v>
      </c>
      <c r="P24" s="221">
        <f t="shared" si="5"/>
        <v>87.5</v>
      </c>
      <c r="Q24" s="222">
        <f t="shared" si="6"/>
        <v>0</v>
      </c>
      <c r="R24" s="222">
        <f t="shared" si="7"/>
        <v>0</v>
      </c>
      <c r="S24" s="222">
        <f t="shared" si="8"/>
        <v>0</v>
      </c>
      <c r="T24" s="223">
        <f t="shared" si="9"/>
        <v>0</v>
      </c>
      <c r="U24" s="223">
        <f t="shared" si="10"/>
        <v>0</v>
      </c>
      <c r="V24" s="56"/>
      <c r="W24" s="217">
        <f t="shared" si="11"/>
        <v>0</v>
      </c>
      <c r="X24" s="217">
        <f t="shared" si="12"/>
        <v>0</v>
      </c>
      <c r="Y24" s="217">
        <f t="shared" si="13"/>
        <v>0</v>
      </c>
      <c r="Z24" s="217">
        <f t="shared" si="14"/>
        <v>0</v>
      </c>
      <c r="AA24" s="217">
        <f t="shared" si="15"/>
        <v>0</v>
      </c>
      <c r="AB24" s="217">
        <f t="shared" si="16"/>
        <v>0</v>
      </c>
      <c r="AC24" s="217">
        <f t="shared" si="17"/>
        <v>0</v>
      </c>
      <c r="AD24" s="217">
        <f t="shared" si="18"/>
        <v>0</v>
      </c>
      <c r="AE24" s="212">
        <f t="shared" si="20"/>
        <v>0</v>
      </c>
      <c r="AF24" s="61"/>
      <c r="BH24" s="184"/>
    </row>
    <row r="25" spans="2:60" outlineLevel="1" x14ac:dyDescent="0.2">
      <c r="C25" s="16">
        <f t="shared" si="19"/>
        <v>0</v>
      </c>
      <c r="E25" s="233">
        <v>45092</v>
      </c>
      <c r="F25" s="234" t="s">
        <v>141</v>
      </c>
      <c r="G25" s="235">
        <v>1271</v>
      </c>
      <c r="H25" s="538">
        <v>62</v>
      </c>
      <c r="I25" s="236" t="s">
        <v>152</v>
      </c>
      <c r="J25" s="241" t="s">
        <v>153</v>
      </c>
      <c r="K25" s="242" t="s">
        <v>47</v>
      </c>
      <c r="L25" s="240">
        <v>7.65</v>
      </c>
      <c r="M25" s="7">
        <f t="shared" si="2"/>
        <v>0</v>
      </c>
      <c r="N25" s="7">
        <f t="shared" ref="N25" si="22">L25-M25</f>
        <v>7.65</v>
      </c>
      <c r="O25" s="217">
        <f t="shared" si="4"/>
        <v>0</v>
      </c>
      <c r="P25" s="221">
        <f t="shared" si="5"/>
        <v>0</v>
      </c>
      <c r="Q25" s="222">
        <f t="shared" si="6"/>
        <v>0</v>
      </c>
      <c r="R25" s="222">
        <f t="shared" si="7"/>
        <v>0</v>
      </c>
      <c r="S25" s="222">
        <f t="shared" si="8"/>
        <v>0</v>
      </c>
      <c r="T25" s="223">
        <f t="shared" si="9"/>
        <v>0</v>
      </c>
      <c r="U25" s="223">
        <f t="shared" si="10"/>
        <v>0</v>
      </c>
      <c r="V25" s="56"/>
      <c r="W25" s="217">
        <f t="shared" si="11"/>
        <v>0</v>
      </c>
      <c r="X25" s="217">
        <f t="shared" si="12"/>
        <v>0</v>
      </c>
      <c r="Y25" s="217">
        <f t="shared" si="13"/>
        <v>0</v>
      </c>
      <c r="Z25" s="217">
        <f t="shared" si="14"/>
        <v>0</v>
      </c>
      <c r="AA25" s="217">
        <f t="shared" si="15"/>
        <v>0</v>
      </c>
      <c r="AB25" s="217">
        <f t="shared" si="16"/>
        <v>0</v>
      </c>
      <c r="AC25" s="217">
        <f t="shared" si="17"/>
        <v>7.65</v>
      </c>
      <c r="AD25" s="217">
        <f t="shared" si="18"/>
        <v>0</v>
      </c>
      <c r="AE25" s="212">
        <f t="shared" si="20"/>
        <v>0</v>
      </c>
      <c r="AF25" s="61"/>
      <c r="BH25" s="184"/>
    </row>
    <row r="26" spans="2:60" outlineLevel="1" x14ac:dyDescent="0.2">
      <c r="C26" s="16">
        <f t="shared" si="19"/>
        <v>0</v>
      </c>
      <c r="E26" s="233">
        <v>45092</v>
      </c>
      <c r="F26" s="234" t="s">
        <v>54</v>
      </c>
      <c r="G26" s="235">
        <v>1272</v>
      </c>
      <c r="H26" s="538">
        <v>63</v>
      </c>
      <c r="I26" s="236" t="s">
        <v>152</v>
      </c>
      <c r="J26" s="241" t="s">
        <v>153</v>
      </c>
      <c r="K26" s="242" t="s">
        <v>6</v>
      </c>
      <c r="L26" s="240">
        <v>825</v>
      </c>
      <c r="M26" s="7">
        <f t="shared" si="2"/>
        <v>0</v>
      </c>
      <c r="N26" s="7">
        <f t="shared" si="21"/>
        <v>825</v>
      </c>
      <c r="O26" s="217">
        <f t="shared" si="4"/>
        <v>825</v>
      </c>
      <c r="P26" s="221">
        <f t="shared" si="5"/>
        <v>0</v>
      </c>
      <c r="Q26" s="222">
        <f t="shared" si="6"/>
        <v>0</v>
      </c>
      <c r="R26" s="222">
        <f t="shared" si="7"/>
        <v>0</v>
      </c>
      <c r="S26" s="222">
        <f t="shared" si="8"/>
        <v>0</v>
      </c>
      <c r="T26" s="223">
        <f t="shared" si="9"/>
        <v>0</v>
      </c>
      <c r="U26" s="223">
        <f t="shared" si="10"/>
        <v>0</v>
      </c>
      <c r="V26" s="56"/>
      <c r="W26" s="217">
        <f t="shared" si="11"/>
        <v>0</v>
      </c>
      <c r="X26" s="217">
        <f t="shared" si="12"/>
        <v>0</v>
      </c>
      <c r="Y26" s="217">
        <f t="shared" si="13"/>
        <v>0</v>
      </c>
      <c r="Z26" s="217">
        <f t="shared" si="14"/>
        <v>0</v>
      </c>
      <c r="AA26" s="217">
        <f t="shared" si="15"/>
        <v>0</v>
      </c>
      <c r="AB26" s="217">
        <f t="shared" si="16"/>
        <v>0</v>
      </c>
      <c r="AC26" s="217">
        <f t="shared" si="17"/>
        <v>0</v>
      </c>
      <c r="AD26" s="217">
        <f t="shared" si="18"/>
        <v>0</v>
      </c>
      <c r="AE26" s="212">
        <f t="shared" si="20"/>
        <v>0</v>
      </c>
      <c r="AF26" s="61"/>
      <c r="BH26" s="184"/>
    </row>
    <row r="27" spans="2:60" outlineLevel="1" x14ac:dyDescent="0.2">
      <c r="C27" s="16">
        <f t="shared" si="19"/>
        <v>0</v>
      </c>
      <c r="E27" s="233">
        <v>45092</v>
      </c>
      <c r="F27" s="234" t="s">
        <v>32</v>
      </c>
      <c r="G27" s="235">
        <v>1273</v>
      </c>
      <c r="H27" s="538"/>
      <c r="I27" s="236" t="s">
        <v>152</v>
      </c>
      <c r="J27" s="241" t="s">
        <v>153</v>
      </c>
      <c r="K27" s="242" t="s">
        <v>47</v>
      </c>
      <c r="L27" s="240">
        <v>0</v>
      </c>
      <c r="M27" s="7">
        <f t="shared" si="2"/>
        <v>0</v>
      </c>
      <c r="N27" s="7">
        <f>L27-M27</f>
        <v>0</v>
      </c>
      <c r="O27" s="217">
        <f t="shared" si="4"/>
        <v>0</v>
      </c>
      <c r="P27" s="221">
        <f t="shared" si="5"/>
        <v>0</v>
      </c>
      <c r="Q27" s="222">
        <f t="shared" si="6"/>
        <v>0</v>
      </c>
      <c r="R27" s="222">
        <f t="shared" si="7"/>
        <v>0</v>
      </c>
      <c r="S27" s="222">
        <f t="shared" si="8"/>
        <v>0</v>
      </c>
      <c r="T27" s="223">
        <f t="shared" si="9"/>
        <v>0</v>
      </c>
      <c r="U27" s="223">
        <f t="shared" si="10"/>
        <v>0</v>
      </c>
      <c r="V27" s="56"/>
      <c r="W27" s="217">
        <f t="shared" si="11"/>
        <v>0</v>
      </c>
      <c r="X27" s="217">
        <f t="shared" si="12"/>
        <v>0</v>
      </c>
      <c r="Y27" s="217">
        <f t="shared" si="13"/>
        <v>0</v>
      </c>
      <c r="Z27" s="217">
        <f t="shared" si="14"/>
        <v>0</v>
      </c>
      <c r="AA27" s="217">
        <f t="shared" si="15"/>
        <v>0</v>
      </c>
      <c r="AB27" s="217">
        <f t="shared" si="16"/>
        <v>0</v>
      </c>
      <c r="AC27" s="217">
        <f t="shared" si="17"/>
        <v>0</v>
      </c>
      <c r="AD27" s="217">
        <f t="shared" si="18"/>
        <v>0</v>
      </c>
      <c r="AE27" s="212">
        <f t="shared" si="20"/>
        <v>0</v>
      </c>
      <c r="AF27" s="61"/>
      <c r="BH27" s="184"/>
    </row>
    <row r="28" spans="2:60" outlineLevel="1" x14ac:dyDescent="0.2">
      <c r="C28" s="16">
        <f t="shared" si="19"/>
        <v>0</v>
      </c>
      <c r="E28" s="233">
        <v>45092</v>
      </c>
      <c r="F28" s="234" t="s">
        <v>142</v>
      </c>
      <c r="G28" s="235">
        <v>1274</v>
      </c>
      <c r="H28" s="538">
        <v>64</v>
      </c>
      <c r="I28" s="236" t="s">
        <v>152</v>
      </c>
      <c r="J28" s="241" t="s">
        <v>153</v>
      </c>
      <c r="K28" s="242" t="s">
        <v>4</v>
      </c>
      <c r="L28" s="240">
        <v>659.32</v>
      </c>
      <c r="M28" s="7">
        <f t="shared" si="2"/>
        <v>0</v>
      </c>
      <c r="N28" s="7">
        <f t="shared" si="21"/>
        <v>659.32</v>
      </c>
      <c r="O28" s="217">
        <f t="shared" si="4"/>
        <v>0</v>
      </c>
      <c r="P28" s="221">
        <f t="shared" si="5"/>
        <v>0</v>
      </c>
      <c r="Q28" s="222">
        <f t="shared" si="6"/>
        <v>0</v>
      </c>
      <c r="R28" s="222">
        <f t="shared" si="7"/>
        <v>0</v>
      </c>
      <c r="S28" s="222">
        <f t="shared" si="8"/>
        <v>0</v>
      </c>
      <c r="T28" s="223">
        <f t="shared" si="9"/>
        <v>0</v>
      </c>
      <c r="U28" s="223">
        <f t="shared" si="10"/>
        <v>0</v>
      </c>
      <c r="V28" s="56"/>
      <c r="W28" s="217">
        <f t="shared" si="11"/>
        <v>0</v>
      </c>
      <c r="X28" s="217">
        <f t="shared" si="12"/>
        <v>0</v>
      </c>
      <c r="Y28" s="217">
        <f t="shared" si="13"/>
        <v>659.32</v>
      </c>
      <c r="Z28" s="217">
        <f t="shared" si="14"/>
        <v>0</v>
      </c>
      <c r="AA28" s="217">
        <f t="shared" si="15"/>
        <v>0</v>
      </c>
      <c r="AB28" s="217">
        <f t="shared" si="16"/>
        <v>0</v>
      </c>
      <c r="AC28" s="217">
        <f t="shared" si="17"/>
        <v>0</v>
      </c>
      <c r="AD28" s="217">
        <f t="shared" si="18"/>
        <v>0</v>
      </c>
      <c r="AE28" s="212">
        <f t="shared" si="20"/>
        <v>0</v>
      </c>
      <c r="AF28" s="61"/>
      <c r="BH28" s="184"/>
    </row>
    <row r="29" spans="2:60" outlineLevel="1" x14ac:dyDescent="0.2">
      <c r="C29" s="16">
        <f t="shared" si="19"/>
        <v>0</v>
      </c>
      <c r="E29" s="233">
        <v>45127</v>
      </c>
      <c r="F29" s="234" t="s">
        <v>144</v>
      </c>
      <c r="G29" s="235">
        <v>1275</v>
      </c>
      <c r="H29" s="538">
        <f>H28+1</f>
        <v>65</v>
      </c>
      <c r="I29" s="236" t="s">
        <v>152</v>
      </c>
      <c r="J29" s="241" t="s">
        <v>152</v>
      </c>
      <c r="K29" s="242" t="s">
        <v>148</v>
      </c>
      <c r="L29" s="240">
        <v>111</v>
      </c>
      <c r="M29" s="7">
        <f t="shared" si="2"/>
        <v>18.5</v>
      </c>
      <c r="N29" s="7">
        <f t="shared" si="21"/>
        <v>92.5</v>
      </c>
      <c r="O29" s="217">
        <f t="shared" si="4"/>
        <v>0</v>
      </c>
      <c r="P29" s="221">
        <f t="shared" si="5"/>
        <v>0</v>
      </c>
      <c r="Q29" s="222">
        <f t="shared" si="6"/>
        <v>0</v>
      </c>
      <c r="R29" s="222">
        <f t="shared" si="7"/>
        <v>0</v>
      </c>
      <c r="S29" s="222">
        <f t="shared" si="8"/>
        <v>0</v>
      </c>
      <c r="T29" s="223">
        <f t="shared" si="9"/>
        <v>92.5</v>
      </c>
      <c r="U29" s="223">
        <f t="shared" si="10"/>
        <v>0</v>
      </c>
      <c r="V29" s="56"/>
      <c r="W29" s="217">
        <f t="shared" si="11"/>
        <v>0</v>
      </c>
      <c r="X29" s="217">
        <f t="shared" si="12"/>
        <v>0</v>
      </c>
      <c r="Y29" s="217">
        <f t="shared" si="13"/>
        <v>0</v>
      </c>
      <c r="Z29" s="217">
        <f t="shared" si="14"/>
        <v>0</v>
      </c>
      <c r="AA29" s="217">
        <f t="shared" si="15"/>
        <v>0</v>
      </c>
      <c r="AB29" s="217">
        <f t="shared" si="16"/>
        <v>0</v>
      </c>
      <c r="AC29" s="217">
        <f t="shared" si="17"/>
        <v>0</v>
      </c>
      <c r="AD29" s="217">
        <f t="shared" si="18"/>
        <v>0</v>
      </c>
      <c r="AE29" s="212">
        <f t="shared" si="20"/>
        <v>0</v>
      </c>
      <c r="AF29" s="61"/>
      <c r="BH29" s="184"/>
    </row>
    <row r="30" spans="2:60" outlineLevel="1" x14ac:dyDescent="0.2">
      <c r="C30" s="16">
        <f t="shared" si="19"/>
        <v>0</v>
      </c>
      <c r="E30" s="233">
        <v>45127</v>
      </c>
      <c r="F30" s="234" t="s">
        <v>53</v>
      </c>
      <c r="G30" s="235">
        <v>1276</v>
      </c>
      <c r="H30" s="538">
        <f t="shared" ref="H30:H66" si="23">H29+1</f>
        <v>66</v>
      </c>
      <c r="I30" s="236" t="s">
        <v>152</v>
      </c>
      <c r="J30" s="241" t="s">
        <v>153</v>
      </c>
      <c r="K30" s="242" t="s">
        <v>46</v>
      </c>
      <c r="L30" s="240">
        <v>135</v>
      </c>
      <c r="M30" s="7">
        <f t="shared" si="2"/>
        <v>0</v>
      </c>
      <c r="N30" s="7">
        <f t="shared" si="21"/>
        <v>135</v>
      </c>
      <c r="O30" s="217">
        <f t="shared" si="4"/>
        <v>0</v>
      </c>
      <c r="P30" s="221">
        <f t="shared" si="5"/>
        <v>0</v>
      </c>
      <c r="Q30" s="222">
        <f t="shared" si="6"/>
        <v>0</v>
      </c>
      <c r="R30" s="222">
        <f t="shared" si="7"/>
        <v>0</v>
      </c>
      <c r="S30" s="222">
        <f t="shared" si="8"/>
        <v>0</v>
      </c>
      <c r="T30" s="223">
        <f t="shared" si="9"/>
        <v>0</v>
      </c>
      <c r="U30" s="223">
        <f t="shared" si="10"/>
        <v>0</v>
      </c>
      <c r="V30" s="56"/>
      <c r="W30" s="217">
        <f t="shared" si="11"/>
        <v>135</v>
      </c>
      <c r="X30" s="217">
        <f t="shared" si="12"/>
        <v>0</v>
      </c>
      <c r="Y30" s="217">
        <f t="shared" si="13"/>
        <v>0</v>
      </c>
      <c r="Z30" s="217">
        <f t="shared" si="14"/>
        <v>0</v>
      </c>
      <c r="AA30" s="217">
        <f t="shared" si="15"/>
        <v>0</v>
      </c>
      <c r="AB30" s="217">
        <f t="shared" si="16"/>
        <v>0</v>
      </c>
      <c r="AC30" s="217">
        <f t="shared" si="17"/>
        <v>0</v>
      </c>
      <c r="AD30" s="217">
        <f t="shared" si="18"/>
        <v>0</v>
      </c>
      <c r="AE30" s="212">
        <f t="shared" si="20"/>
        <v>0</v>
      </c>
      <c r="AF30" s="61"/>
      <c r="BH30" s="504"/>
    </row>
    <row r="31" spans="2:60" outlineLevel="1" x14ac:dyDescent="0.2">
      <c r="C31" s="16">
        <f t="shared" si="19"/>
        <v>0</v>
      </c>
      <c r="E31" s="233">
        <v>45127</v>
      </c>
      <c r="F31" s="234" t="s">
        <v>145</v>
      </c>
      <c r="G31" s="235">
        <v>1277</v>
      </c>
      <c r="H31" s="538">
        <f t="shared" si="23"/>
        <v>67</v>
      </c>
      <c r="I31" s="236" t="s">
        <v>152</v>
      </c>
      <c r="J31" s="241" t="s">
        <v>153</v>
      </c>
      <c r="K31" s="242" t="s">
        <v>169</v>
      </c>
      <c r="L31" s="240">
        <v>157.5</v>
      </c>
      <c r="M31" s="7">
        <f t="shared" si="2"/>
        <v>0</v>
      </c>
      <c r="N31" s="7">
        <f t="shared" si="21"/>
        <v>157.5</v>
      </c>
      <c r="O31" s="217">
        <f t="shared" si="4"/>
        <v>0</v>
      </c>
      <c r="P31" s="221">
        <f t="shared" si="5"/>
        <v>157.5</v>
      </c>
      <c r="Q31" s="222">
        <f t="shared" si="6"/>
        <v>0</v>
      </c>
      <c r="R31" s="222">
        <f t="shared" si="7"/>
        <v>0</v>
      </c>
      <c r="S31" s="222">
        <f t="shared" si="8"/>
        <v>0</v>
      </c>
      <c r="T31" s="223">
        <f t="shared" si="9"/>
        <v>0</v>
      </c>
      <c r="U31" s="223">
        <f t="shared" si="10"/>
        <v>0</v>
      </c>
      <c r="V31" s="56"/>
      <c r="W31" s="217">
        <f t="shared" si="11"/>
        <v>0</v>
      </c>
      <c r="X31" s="217">
        <f t="shared" si="12"/>
        <v>0</v>
      </c>
      <c r="Y31" s="217">
        <f t="shared" si="13"/>
        <v>0</v>
      </c>
      <c r="Z31" s="217">
        <f t="shared" si="14"/>
        <v>0</v>
      </c>
      <c r="AA31" s="217">
        <f t="shared" si="15"/>
        <v>0</v>
      </c>
      <c r="AB31" s="217">
        <f t="shared" si="16"/>
        <v>0</v>
      </c>
      <c r="AC31" s="217">
        <f t="shared" si="17"/>
        <v>0</v>
      </c>
      <c r="AD31" s="217">
        <f t="shared" si="18"/>
        <v>0</v>
      </c>
      <c r="AE31" s="212">
        <f t="shared" si="20"/>
        <v>0</v>
      </c>
      <c r="AF31" s="61"/>
    </row>
    <row r="32" spans="2:60" outlineLevel="1" x14ac:dyDescent="0.2">
      <c r="C32" s="16">
        <f t="shared" si="19"/>
        <v>0</v>
      </c>
      <c r="E32" s="233">
        <v>45127</v>
      </c>
      <c r="F32" s="234" t="s">
        <v>66</v>
      </c>
      <c r="G32" s="235">
        <v>1278</v>
      </c>
      <c r="H32" s="538">
        <f t="shared" si="23"/>
        <v>68</v>
      </c>
      <c r="I32" s="236" t="s">
        <v>152</v>
      </c>
      <c r="J32" s="241" t="s">
        <v>153</v>
      </c>
      <c r="K32" s="242" t="s">
        <v>6</v>
      </c>
      <c r="L32" s="240">
        <v>275</v>
      </c>
      <c r="M32" s="7">
        <f t="shared" si="2"/>
        <v>0</v>
      </c>
      <c r="N32" s="7">
        <f t="shared" si="21"/>
        <v>275</v>
      </c>
      <c r="O32" s="217">
        <f t="shared" si="4"/>
        <v>275</v>
      </c>
      <c r="P32" s="221">
        <f t="shared" si="5"/>
        <v>0</v>
      </c>
      <c r="Q32" s="222">
        <f t="shared" si="6"/>
        <v>0</v>
      </c>
      <c r="R32" s="222">
        <f t="shared" si="7"/>
        <v>0</v>
      </c>
      <c r="S32" s="222">
        <f t="shared" si="8"/>
        <v>0</v>
      </c>
      <c r="T32" s="223">
        <f t="shared" si="9"/>
        <v>0</v>
      </c>
      <c r="U32" s="223">
        <f t="shared" si="10"/>
        <v>0</v>
      </c>
      <c r="V32" s="56"/>
      <c r="W32" s="217">
        <f t="shared" si="11"/>
        <v>0</v>
      </c>
      <c r="X32" s="217">
        <f t="shared" si="12"/>
        <v>0</v>
      </c>
      <c r="Y32" s="217">
        <f t="shared" si="13"/>
        <v>0</v>
      </c>
      <c r="Z32" s="217">
        <f t="shared" si="14"/>
        <v>0</v>
      </c>
      <c r="AA32" s="217">
        <f t="shared" si="15"/>
        <v>0</v>
      </c>
      <c r="AB32" s="217">
        <f t="shared" si="16"/>
        <v>0</v>
      </c>
      <c r="AC32" s="217">
        <f t="shared" si="17"/>
        <v>0</v>
      </c>
      <c r="AD32" s="217">
        <f t="shared" si="18"/>
        <v>0</v>
      </c>
      <c r="AE32" s="212">
        <f t="shared" si="20"/>
        <v>0</v>
      </c>
      <c r="AF32" s="61"/>
    </row>
    <row r="33" spans="3:32" outlineLevel="1" x14ac:dyDescent="0.2">
      <c r="C33" s="16">
        <f t="shared" si="19"/>
        <v>0</v>
      </c>
      <c r="E33" s="233">
        <v>45127</v>
      </c>
      <c r="F33" s="234" t="s">
        <v>146</v>
      </c>
      <c r="G33" s="235">
        <v>1279</v>
      </c>
      <c r="H33" s="538">
        <f t="shared" si="23"/>
        <v>69</v>
      </c>
      <c r="I33" s="236" t="s">
        <v>152</v>
      </c>
      <c r="J33" s="241" t="s">
        <v>152</v>
      </c>
      <c r="K33" s="242" t="s">
        <v>68</v>
      </c>
      <c r="L33" s="240">
        <v>537</v>
      </c>
      <c r="M33" s="7">
        <f t="shared" si="2"/>
        <v>89.5</v>
      </c>
      <c r="N33" s="7">
        <f t="shared" si="21"/>
        <v>447.5</v>
      </c>
      <c r="O33" s="217">
        <f t="shared" si="4"/>
        <v>0</v>
      </c>
      <c r="P33" s="221">
        <f t="shared" si="5"/>
        <v>0</v>
      </c>
      <c r="Q33" s="222">
        <f t="shared" si="6"/>
        <v>0</v>
      </c>
      <c r="R33" s="222">
        <f t="shared" si="7"/>
        <v>0</v>
      </c>
      <c r="S33" s="222">
        <f t="shared" si="8"/>
        <v>0</v>
      </c>
      <c r="T33" s="223">
        <f t="shared" si="9"/>
        <v>0</v>
      </c>
      <c r="U33" s="223">
        <f t="shared" si="10"/>
        <v>0</v>
      </c>
      <c r="V33" s="56"/>
      <c r="W33" s="217">
        <f t="shared" si="11"/>
        <v>0</v>
      </c>
      <c r="X33" s="217">
        <f t="shared" si="12"/>
        <v>447.5</v>
      </c>
      <c r="Y33" s="217">
        <f t="shared" si="13"/>
        <v>0</v>
      </c>
      <c r="Z33" s="217">
        <f t="shared" si="14"/>
        <v>0</v>
      </c>
      <c r="AA33" s="217">
        <f t="shared" si="15"/>
        <v>0</v>
      </c>
      <c r="AB33" s="217">
        <f t="shared" si="16"/>
        <v>0</v>
      </c>
      <c r="AC33" s="217">
        <f t="shared" si="17"/>
        <v>0</v>
      </c>
      <c r="AD33" s="217">
        <f t="shared" si="18"/>
        <v>0</v>
      </c>
      <c r="AE33" s="212">
        <f t="shared" si="20"/>
        <v>0</v>
      </c>
      <c r="AF33" s="61"/>
    </row>
    <row r="34" spans="3:32" outlineLevel="1" x14ac:dyDescent="0.2">
      <c r="C34" s="16">
        <f t="shared" si="19"/>
        <v>0</v>
      </c>
      <c r="E34" s="233">
        <v>45176</v>
      </c>
      <c r="F34" s="234" t="s">
        <v>146</v>
      </c>
      <c r="G34" s="235">
        <v>1280</v>
      </c>
      <c r="H34" s="538">
        <f t="shared" si="23"/>
        <v>70</v>
      </c>
      <c r="I34" s="236" t="s">
        <v>152</v>
      </c>
      <c r="J34" s="241" t="s">
        <v>152</v>
      </c>
      <c r="K34" s="242" t="s">
        <v>68</v>
      </c>
      <c r="L34" s="240">
        <v>1611</v>
      </c>
      <c r="M34" s="7">
        <f t="shared" si="2"/>
        <v>268.5</v>
      </c>
      <c r="N34" s="7">
        <f t="shared" si="21"/>
        <v>1342.5</v>
      </c>
      <c r="O34" s="217">
        <f t="shared" si="4"/>
        <v>0</v>
      </c>
      <c r="P34" s="221">
        <f t="shared" si="5"/>
        <v>0</v>
      </c>
      <c r="Q34" s="222">
        <f t="shared" si="6"/>
        <v>0</v>
      </c>
      <c r="R34" s="222">
        <f t="shared" si="7"/>
        <v>0</v>
      </c>
      <c r="S34" s="222">
        <f t="shared" si="8"/>
        <v>0</v>
      </c>
      <c r="T34" s="223">
        <f t="shared" si="9"/>
        <v>0</v>
      </c>
      <c r="U34" s="223">
        <f t="shared" si="10"/>
        <v>0</v>
      </c>
      <c r="V34" s="56"/>
      <c r="W34" s="217">
        <f t="shared" si="11"/>
        <v>0</v>
      </c>
      <c r="X34" s="217">
        <f t="shared" si="12"/>
        <v>1342.5</v>
      </c>
      <c r="Y34" s="217">
        <f t="shared" si="13"/>
        <v>0</v>
      </c>
      <c r="Z34" s="217">
        <f t="shared" si="14"/>
        <v>0</v>
      </c>
      <c r="AA34" s="217">
        <f t="shared" si="15"/>
        <v>0</v>
      </c>
      <c r="AB34" s="217">
        <f t="shared" si="16"/>
        <v>0</v>
      </c>
      <c r="AC34" s="217">
        <f t="shared" si="17"/>
        <v>0</v>
      </c>
      <c r="AD34" s="217">
        <f t="shared" si="18"/>
        <v>0</v>
      </c>
      <c r="AE34" s="212">
        <f t="shared" si="20"/>
        <v>0</v>
      </c>
      <c r="AF34" s="61"/>
    </row>
    <row r="35" spans="3:32" outlineLevel="1" x14ac:dyDescent="0.2">
      <c r="C35" s="16">
        <f t="shared" si="19"/>
        <v>0</v>
      </c>
      <c r="E35" s="233">
        <v>45190</v>
      </c>
      <c r="F35" s="234" t="s">
        <v>59</v>
      </c>
      <c r="G35" s="235">
        <v>1281</v>
      </c>
      <c r="H35" s="538">
        <f t="shared" si="23"/>
        <v>71</v>
      </c>
      <c r="I35" s="236" t="s">
        <v>152</v>
      </c>
      <c r="J35" s="241" t="s">
        <v>153</v>
      </c>
      <c r="K35" s="242" t="s">
        <v>47</v>
      </c>
      <c r="L35" s="240">
        <v>107.5</v>
      </c>
      <c r="M35" s="7">
        <f t="shared" si="2"/>
        <v>0</v>
      </c>
      <c r="N35" s="7">
        <f t="shared" si="21"/>
        <v>107.5</v>
      </c>
      <c r="O35" s="217">
        <f t="shared" si="4"/>
        <v>0</v>
      </c>
      <c r="P35" s="221">
        <f t="shared" si="5"/>
        <v>0</v>
      </c>
      <c r="Q35" s="222">
        <f t="shared" si="6"/>
        <v>0</v>
      </c>
      <c r="R35" s="222">
        <f t="shared" si="7"/>
        <v>0</v>
      </c>
      <c r="S35" s="222">
        <f t="shared" si="8"/>
        <v>0</v>
      </c>
      <c r="T35" s="223">
        <f t="shared" si="9"/>
        <v>0</v>
      </c>
      <c r="U35" s="223">
        <f t="shared" si="10"/>
        <v>0</v>
      </c>
      <c r="V35" s="56"/>
      <c r="W35" s="217">
        <f t="shared" si="11"/>
        <v>0</v>
      </c>
      <c r="X35" s="217">
        <f t="shared" si="12"/>
        <v>0</v>
      </c>
      <c r="Y35" s="217">
        <f t="shared" si="13"/>
        <v>0</v>
      </c>
      <c r="Z35" s="217">
        <f t="shared" si="14"/>
        <v>0</v>
      </c>
      <c r="AA35" s="217">
        <f t="shared" si="15"/>
        <v>0</v>
      </c>
      <c r="AB35" s="217">
        <f t="shared" si="16"/>
        <v>0</v>
      </c>
      <c r="AC35" s="217">
        <f t="shared" si="17"/>
        <v>107.5</v>
      </c>
      <c r="AD35" s="217">
        <f t="shared" si="18"/>
        <v>0</v>
      </c>
      <c r="AE35" s="212">
        <f t="shared" si="20"/>
        <v>0</v>
      </c>
      <c r="AF35" s="61"/>
    </row>
    <row r="36" spans="3:32" outlineLevel="1" x14ac:dyDescent="0.2">
      <c r="C36" s="16">
        <f t="shared" si="19"/>
        <v>0</v>
      </c>
      <c r="E36" s="233">
        <v>45190</v>
      </c>
      <c r="F36" s="234" t="s">
        <v>66</v>
      </c>
      <c r="G36" s="235">
        <v>1282</v>
      </c>
      <c r="H36" s="538">
        <f t="shared" si="23"/>
        <v>72</v>
      </c>
      <c r="I36" s="236" t="s">
        <v>152</v>
      </c>
      <c r="J36" s="241" t="s">
        <v>153</v>
      </c>
      <c r="K36" s="242" t="s">
        <v>6</v>
      </c>
      <c r="L36" s="240">
        <v>550</v>
      </c>
      <c r="M36" s="7">
        <f t="shared" si="2"/>
        <v>0</v>
      </c>
      <c r="N36" s="7">
        <f t="shared" si="21"/>
        <v>550</v>
      </c>
      <c r="O36" s="217">
        <f t="shared" si="4"/>
        <v>550</v>
      </c>
      <c r="P36" s="221">
        <f t="shared" si="5"/>
        <v>0</v>
      </c>
      <c r="Q36" s="222">
        <f t="shared" si="6"/>
        <v>0</v>
      </c>
      <c r="R36" s="222">
        <f t="shared" si="7"/>
        <v>0</v>
      </c>
      <c r="S36" s="222">
        <f t="shared" si="8"/>
        <v>0</v>
      </c>
      <c r="T36" s="223">
        <f t="shared" si="9"/>
        <v>0</v>
      </c>
      <c r="U36" s="223">
        <f t="shared" si="10"/>
        <v>0</v>
      </c>
      <c r="V36" s="56"/>
      <c r="W36" s="217">
        <f t="shared" si="11"/>
        <v>0</v>
      </c>
      <c r="X36" s="217">
        <f t="shared" si="12"/>
        <v>0</v>
      </c>
      <c r="Y36" s="217">
        <f t="shared" si="13"/>
        <v>0</v>
      </c>
      <c r="Z36" s="217">
        <f t="shared" si="14"/>
        <v>0</v>
      </c>
      <c r="AA36" s="217">
        <f t="shared" si="15"/>
        <v>0</v>
      </c>
      <c r="AB36" s="217">
        <f t="shared" si="16"/>
        <v>0</v>
      </c>
      <c r="AC36" s="217">
        <f t="shared" si="17"/>
        <v>0</v>
      </c>
      <c r="AD36" s="217">
        <f t="shared" si="18"/>
        <v>0</v>
      </c>
      <c r="AE36" s="212">
        <f t="shared" si="20"/>
        <v>0</v>
      </c>
      <c r="AF36" s="61"/>
    </row>
    <row r="37" spans="3:32" outlineLevel="1" x14ac:dyDescent="0.2">
      <c r="C37" s="16">
        <f t="shared" si="19"/>
        <v>0</v>
      </c>
      <c r="E37" s="233">
        <v>45190</v>
      </c>
      <c r="F37" s="234" t="s">
        <v>53</v>
      </c>
      <c r="G37" s="235">
        <v>1283</v>
      </c>
      <c r="H37" s="538">
        <f t="shared" si="23"/>
        <v>73</v>
      </c>
      <c r="I37" s="236" t="s">
        <v>152</v>
      </c>
      <c r="J37" s="241" t="s">
        <v>153</v>
      </c>
      <c r="K37" s="242" t="s">
        <v>46</v>
      </c>
      <c r="L37" s="240">
        <v>45</v>
      </c>
      <c r="M37" s="7">
        <f t="shared" si="2"/>
        <v>0</v>
      </c>
      <c r="N37" s="7">
        <f t="shared" si="21"/>
        <v>45</v>
      </c>
      <c r="O37" s="217">
        <f t="shared" si="4"/>
        <v>0</v>
      </c>
      <c r="P37" s="221">
        <f t="shared" si="5"/>
        <v>0</v>
      </c>
      <c r="Q37" s="222">
        <f t="shared" si="6"/>
        <v>0</v>
      </c>
      <c r="R37" s="222">
        <f t="shared" si="7"/>
        <v>0</v>
      </c>
      <c r="S37" s="222">
        <f t="shared" si="8"/>
        <v>0</v>
      </c>
      <c r="T37" s="223">
        <f t="shared" si="9"/>
        <v>0</v>
      </c>
      <c r="U37" s="223">
        <f t="shared" si="10"/>
        <v>0</v>
      </c>
      <c r="V37" s="56"/>
      <c r="W37" s="217">
        <f t="shared" si="11"/>
        <v>45</v>
      </c>
      <c r="X37" s="217">
        <f t="shared" si="12"/>
        <v>0</v>
      </c>
      <c r="Y37" s="217">
        <f t="shared" si="13"/>
        <v>0</v>
      </c>
      <c r="Z37" s="217">
        <f t="shared" si="14"/>
        <v>0</v>
      </c>
      <c r="AA37" s="217">
        <f t="shared" si="15"/>
        <v>0</v>
      </c>
      <c r="AB37" s="217">
        <f t="shared" si="16"/>
        <v>0</v>
      </c>
      <c r="AC37" s="217">
        <f t="shared" si="17"/>
        <v>0</v>
      </c>
      <c r="AD37" s="217">
        <f t="shared" si="18"/>
        <v>0</v>
      </c>
      <c r="AE37" s="212">
        <f t="shared" si="20"/>
        <v>0</v>
      </c>
      <c r="AF37" s="61"/>
    </row>
    <row r="38" spans="3:32" outlineLevel="1" x14ac:dyDescent="0.2">
      <c r="C38" s="16">
        <f t="shared" si="19"/>
        <v>0</v>
      </c>
      <c r="E38" s="233">
        <v>45190</v>
      </c>
      <c r="F38" s="234" t="s">
        <v>145</v>
      </c>
      <c r="G38" s="235">
        <v>1284</v>
      </c>
      <c r="H38" s="538">
        <f t="shared" si="23"/>
        <v>74</v>
      </c>
      <c r="I38" s="236" t="s">
        <v>152</v>
      </c>
      <c r="J38" s="241" t="s">
        <v>153</v>
      </c>
      <c r="K38" s="242" t="s">
        <v>169</v>
      </c>
      <c r="L38" s="240">
        <v>140</v>
      </c>
      <c r="M38" s="7">
        <f t="shared" si="2"/>
        <v>0</v>
      </c>
      <c r="N38" s="7">
        <f t="shared" si="21"/>
        <v>140</v>
      </c>
      <c r="O38" s="217">
        <f>IF(K38="Staff costs (incl payroll mgt fees)",N38,0)</f>
        <v>0</v>
      </c>
      <c r="P38" s="221">
        <f>IF(K38="Play area Gardening &amp; Safety Checks",N38,0)</f>
        <v>140</v>
      </c>
      <c r="Q38" s="222">
        <f>IF(K38="Twinning Garden costs (50% share)",N38,0)</f>
        <v>0</v>
      </c>
      <c r="R38" s="222">
        <f>IF(K38="Playground maintenance",N38,0)</f>
        <v>0</v>
      </c>
      <c r="S38" s="222">
        <f>IF(K38="Playing Field maintenance",N38,0)</f>
        <v>0</v>
      </c>
      <c r="T38" s="223">
        <f>IF(K38="RoSPA",N38,0)</f>
        <v>0</v>
      </c>
      <c r="U38" s="223">
        <f>IF(K38="CCTV",N38,0)</f>
        <v>0</v>
      </c>
      <c r="V38" s="56"/>
      <c r="W38" s="217">
        <f>IF(K38="Meeting costs",N38,0)</f>
        <v>0</v>
      </c>
      <c r="X38" s="217">
        <f>IF(K38="New Assets",N38,0)</f>
        <v>0</v>
      </c>
      <c r="Y38" s="217">
        <f>IF(K38="Insurance",N38,0)</f>
        <v>0</v>
      </c>
      <c r="Z38" s="217">
        <f>IF(K38="Councillor training",N38,0)</f>
        <v>0</v>
      </c>
      <c r="AA38" s="217">
        <f>IF(K38="s. 137 costs",N38,0)</f>
        <v>0</v>
      </c>
      <c r="AB38" s="217">
        <f>IF(K38="May 23 local election costs",N38,0)</f>
        <v>0</v>
      </c>
      <c r="AC38" s="217">
        <f t="shared" si="17"/>
        <v>0</v>
      </c>
      <c r="AD38" s="217">
        <f t="shared" si="18"/>
        <v>0</v>
      </c>
      <c r="AE38" s="212">
        <f t="shared" si="20"/>
        <v>0</v>
      </c>
      <c r="AF38" s="61"/>
    </row>
    <row r="39" spans="3:32" x14ac:dyDescent="0.2">
      <c r="C39" s="16">
        <f t="shared" si="19"/>
        <v>0</v>
      </c>
      <c r="E39" s="233">
        <v>45219</v>
      </c>
      <c r="F39" s="234" t="s">
        <v>64</v>
      </c>
      <c r="G39" s="235" t="s">
        <v>63</v>
      </c>
      <c r="H39" s="538">
        <f t="shared" si="23"/>
        <v>75</v>
      </c>
      <c r="I39" s="236" t="s">
        <v>152</v>
      </c>
      <c r="J39" s="241" t="s">
        <v>153</v>
      </c>
      <c r="K39" s="242" t="s">
        <v>47</v>
      </c>
      <c r="L39" s="240">
        <v>35</v>
      </c>
      <c r="M39" s="7">
        <f t="shared" si="2"/>
        <v>0</v>
      </c>
      <c r="N39" s="7">
        <f t="shared" ref="N39:N66" si="24">L39-M39</f>
        <v>35</v>
      </c>
      <c r="O39" s="217">
        <f t="shared" ref="O39:O66" si="25">IF(K39="Staff costs (incl payroll mgt fees)",N39,0)</f>
        <v>0</v>
      </c>
      <c r="P39" s="221">
        <f t="shared" ref="P39:P66" si="26">IF(K39="Play area Gardening &amp; Safety Checks",N39,0)</f>
        <v>0</v>
      </c>
      <c r="Q39" s="222">
        <f t="shared" ref="Q39:Q66" si="27">IF(K39="Twinning Garden costs (50% share)",N39,0)</f>
        <v>0</v>
      </c>
      <c r="R39" s="222">
        <f t="shared" ref="R39:R66" si="28">IF(K39="Playground maintenance",N39,0)</f>
        <v>0</v>
      </c>
      <c r="S39" s="222">
        <f t="shared" ref="S39:S66" si="29">IF(K39="Playing Field maintenance",N39,0)</f>
        <v>0</v>
      </c>
      <c r="T39" s="223">
        <f t="shared" ref="T39:T66" si="30">IF(K39="RoSPA",N39,0)</f>
        <v>0</v>
      </c>
      <c r="U39" s="223">
        <f t="shared" ref="U39:U66" si="31">IF(K39="CCTV",N39,0)</f>
        <v>0</v>
      </c>
      <c r="V39" s="56"/>
      <c r="W39" s="217">
        <f t="shared" ref="W39:W66" si="32">IF(K39="Meeting costs",N39,0)</f>
        <v>0</v>
      </c>
      <c r="X39" s="217">
        <f t="shared" ref="X39:X66" si="33">IF(K39="New Assets",N39,0)</f>
        <v>0</v>
      </c>
      <c r="Y39" s="217">
        <f t="shared" ref="Y39:Y66" si="34">IF(K39="Insurance",N39,0)</f>
        <v>0</v>
      </c>
      <c r="Z39" s="217">
        <f t="shared" ref="Z39:Z66" si="35">IF(K39="Councillor training",N39,0)</f>
        <v>0</v>
      </c>
      <c r="AA39" s="217">
        <f t="shared" ref="AA39:AA66" si="36">IF(K39="s. 137 costs",N39,0)</f>
        <v>0</v>
      </c>
      <c r="AB39" s="217">
        <f t="shared" ref="AB39:AB66" si="37">IF(K39="May 23 local election costs",N39,0)</f>
        <v>0</v>
      </c>
      <c r="AC39" s="217">
        <f t="shared" si="17"/>
        <v>35</v>
      </c>
      <c r="AD39" s="217">
        <f t="shared" si="18"/>
        <v>0</v>
      </c>
      <c r="AE39" s="212">
        <f t="shared" si="20"/>
        <v>0</v>
      </c>
      <c r="AF39" s="61"/>
    </row>
    <row r="40" spans="3:32" outlineLevel="1" x14ac:dyDescent="0.2">
      <c r="C40" s="16">
        <f t="shared" si="19"/>
        <v>0</v>
      </c>
      <c r="E40" s="233">
        <v>45218</v>
      </c>
      <c r="F40" s="234" t="s">
        <v>66</v>
      </c>
      <c r="G40" s="235">
        <v>1285</v>
      </c>
      <c r="H40" s="538">
        <f t="shared" si="23"/>
        <v>76</v>
      </c>
      <c r="I40" s="236" t="s">
        <v>152</v>
      </c>
      <c r="J40" s="241" t="s">
        <v>153</v>
      </c>
      <c r="K40" s="242" t="s">
        <v>6</v>
      </c>
      <c r="L40" s="240">
        <v>275</v>
      </c>
      <c r="M40" s="7">
        <f t="shared" si="2"/>
        <v>0</v>
      </c>
      <c r="N40" s="7">
        <f t="shared" si="24"/>
        <v>275</v>
      </c>
      <c r="O40" s="217">
        <f t="shared" si="25"/>
        <v>275</v>
      </c>
      <c r="P40" s="221">
        <f t="shared" si="26"/>
        <v>0</v>
      </c>
      <c r="Q40" s="222">
        <f t="shared" si="27"/>
        <v>0</v>
      </c>
      <c r="R40" s="222">
        <f t="shared" si="28"/>
        <v>0</v>
      </c>
      <c r="S40" s="222">
        <f t="shared" si="29"/>
        <v>0</v>
      </c>
      <c r="T40" s="223">
        <f t="shared" si="30"/>
        <v>0</v>
      </c>
      <c r="U40" s="223">
        <f t="shared" si="31"/>
        <v>0</v>
      </c>
      <c r="V40" s="56"/>
      <c r="W40" s="217">
        <f t="shared" si="32"/>
        <v>0</v>
      </c>
      <c r="X40" s="217">
        <f t="shared" si="33"/>
        <v>0</v>
      </c>
      <c r="Y40" s="217">
        <f t="shared" si="34"/>
        <v>0</v>
      </c>
      <c r="Z40" s="217">
        <f t="shared" si="35"/>
        <v>0</v>
      </c>
      <c r="AA40" s="217">
        <f t="shared" si="36"/>
        <v>0</v>
      </c>
      <c r="AB40" s="217">
        <f t="shared" si="37"/>
        <v>0</v>
      </c>
      <c r="AC40" s="217">
        <f t="shared" si="17"/>
        <v>0</v>
      </c>
      <c r="AD40" s="217">
        <f t="shared" si="18"/>
        <v>0</v>
      </c>
      <c r="AE40" s="212">
        <f t="shared" si="20"/>
        <v>0</v>
      </c>
      <c r="AF40" s="61"/>
    </row>
    <row r="41" spans="3:32" outlineLevel="1" x14ac:dyDescent="0.2">
      <c r="C41" s="16">
        <f t="shared" si="19"/>
        <v>0</v>
      </c>
      <c r="E41" s="233">
        <v>45218</v>
      </c>
      <c r="F41" s="234" t="s">
        <v>154</v>
      </c>
      <c r="G41" s="235">
        <v>1286</v>
      </c>
      <c r="H41" s="538"/>
      <c r="I41" s="236" t="s">
        <v>152</v>
      </c>
      <c r="J41" s="241"/>
      <c r="K41" s="242"/>
      <c r="L41" s="240"/>
      <c r="M41" s="7">
        <f t="shared" si="2"/>
        <v>0</v>
      </c>
      <c r="N41" s="7">
        <f t="shared" si="24"/>
        <v>0</v>
      </c>
      <c r="O41" s="217">
        <f t="shared" si="25"/>
        <v>0</v>
      </c>
      <c r="P41" s="221">
        <f t="shared" si="26"/>
        <v>0</v>
      </c>
      <c r="Q41" s="222">
        <f t="shared" si="27"/>
        <v>0</v>
      </c>
      <c r="R41" s="222">
        <f t="shared" si="28"/>
        <v>0</v>
      </c>
      <c r="S41" s="222">
        <f t="shared" si="29"/>
        <v>0</v>
      </c>
      <c r="T41" s="223">
        <f t="shared" si="30"/>
        <v>0</v>
      </c>
      <c r="U41" s="223">
        <f t="shared" si="31"/>
        <v>0</v>
      </c>
      <c r="V41" s="56"/>
      <c r="W41" s="217">
        <f t="shared" si="32"/>
        <v>0</v>
      </c>
      <c r="X41" s="217">
        <f t="shared" si="33"/>
        <v>0</v>
      </c>
      <c r="Y41" s="217">
        <f t="shared" si="34"/>
        <v>0</v>
      </c>
      <c r="Z41" s="217">
        <f t="shared" si="35"/>
        <v>0</v>
      </c>
      <c r="AA41" s="217">
        <f t="shared" si="36"/>
        <v>0</v>
      </c>
      <c r="AB41" s="217">
        <f t="shared" si="37"/>
        <v>0</v>
      </c>
      <c r="AC41" s="217">
        <f t="shared" si="17"/>
        <v>0</v>
      </c>
      <c r="AD41" s="217">
        <f t="shared" si="18"/>
        <v>0</v>
      </c>
      <c r="AE41" s="212">
        <f t="shared" si="20"/>
        <v>0</v>
      </c>
      <c r="AF41" s="61"/>
    </row>
    <row r="42" spans="3:32" outlineLevel="1" x14ac:dyDescent="0.2">
      <c r="C42" s="16">
        <f t="shared" si="19"/>
        <v>0</v>
      </c>
      <c r="E42" s="233">
        <v>45218</v>
      </c>
      <c r="F42" s="234" t="s">
        <v>67</v>
      </c>
      <c r="G42" s="235">
        <v>1287</v>
      </c>
      <c r="H42" s="538">
        <v>78</v>
      </c>
      <c r="I42" s="236" t="s">
        <v>152</v>
      </c>
      <c r="J42" s="241" t="s">
        <v>153</v>
      </c>
      <c r="K42" s="242" t="s">
        <v>47</v>
      </c>
      <c r="L42" s="240">
        <v>14.25</v>
      </c>
      <c r="M42" s="7">
        <f t="shared" ref="M42:M66" si="38">IF(J42="Yes",L42/6,0)</f>
        <v>0</v>
      </c>
      <c r="N42" s="7">
        <f t="shared" si="24"/>
        <v>14.25</v>
      </c>
      <c r="O42" s="217">
        <f t="shared" si="25"/>
        <v>0</v>
      </c>
      <c r="P42" s="221">
        <f t="shared" si="26"/>
        <v>0</v>
      </c>
      <c r="Q42" s="222">
        <f t="shared" si="27"/>
        <v>0</v>
      </c>
      <c r="R42" s="222">
        <f t="shared" si="28"/>
        <v>0</v>
      </c>
      <c r="S42" s="222">
        <f t="shared" si="29"/>
        <v>0</v>
      </c>
      <c r="T42" s="223">
        <f t="shared" si="30"/>
        <v>0</v>
      </c>
      <c r="U42" s="223">
        <f t="shared" si="31"/>
        <v>0</v>
      </c>
      <c r="V42" s="56"/>
      <c r="W42" s="217">
        <f t="shared" si="32"/>
        <v>0</v>
      </c>
      <c r="X42" s="217">
        <f t="shared" si="33"/>
        <v>0</v>
      </c>
      <c r="Y42" s="217">
        <f t="shared" si="34"/>
        <v>0</v>
      </c>
      <c r="Z42" s="217">
        <f t="shared" si="35"/>
        <v>0</v>
      </c>
      <c r="AA42" s="217">
        <f t="shared" si="36"/>
        <v>0</v>
      </c>
      <c r="AB42" s="217">
        <f t="shared" si="37"/>
        <v>0</v>
      </c>
      <c r="AC42" s="217">
        <f t="shared" si="17"/>
        <v>14.25</v>
      </c>
      <c r="AD42" s="217">
        <f t="shared" si="18"/>
        <v>0</v>
      </c>
      <c r="AE42" s="212">
        <f t="shared" si="20"/>
        <v>0</v>
      </c>
      <c r="AF42" s="61"/>
    </row>
    <row r="43" spans="3:32" outlineLevel="1" x14ac:dyDescent="0.2">
      <c r="C43" s="16">
        <f t="shared" si="19"/>
        <v>0</v>
      </c>
      <c r="E43" s="233">
        <v>45218</v>
      </c>
      <c r="F43" s="234" t="s">
        <v>145</v>
      </c>
      <c r="G43" s="235">
        <v>1288</v>
      </c>
      <c r="H43" s="538">
        <f t="shared" si="23"/>
        <v>79</v>
      </c>
      <c r="I43" s="236" t="s">
        <v>152</v>
      </c>
      <c r="J43" s="241" t="s">
        <v>153</v>
      </c>
      <c r="K43" s="242" t="s">
        <v>169</v>
      </c>
      <c r="L43" s="240">
        <v>87.5</v>
      </c>
      <c r="M43" s="7">
        <f t="shared" si="38"/>
        <v>0</v>
      </c>
      <c r="N43" s="7">
        <f t="shared" si="24"/>
        <v>87.5</v>
      </c>
      <c r="O43" s="217">
        <f t="shared" si="25"/>
        <v>0</v>
      </c>
      <c r="P43" s="221">
        <f t="shared" si="26"/>
        <v>87.5</v>
      </c>
      <c r="Q43" s="222">
        <f t="shared" si="27"/>
        <v>0</v>
      </c>
      <c r="R43" s="222">
        <f t="shared" si="28"/>
        <v>0</v>
      </c>
      <c r="S43" s="222">
        <f t="shared" si="29"/>
        <v>0</v>
      </c>
      <c r="T43" s="223">
        <f t="shared" si="30"/>
        <v>0</v>
      </c>
      <c r="U43" s="223">
        <f t="shared" si="31"/>
        <v>0</v>
      </c>
      <c r="V43" s="56"/>
      <c r="W43" s="217">
        <f t="shared" si="32"/>
        <v>0</v>
      </c>
      <c r="X43" s="217">
        <f t="shared" si="33"/>
        <v>0</v>
      </c>
      <c r="Y43" s="217">
        <f t="shared" si="34"/>
        <v>0</v>
      </c>
      <c r="Z43" s="217">
        <f t="shared" si="35"/>
        <v>0</v>
      </c>
      <c r="AA43" s="217">
        <f t="shared" si="36"/>
        <v>0</v>
      </c>
      <c r="AB43" s="217">
        <f t="shared" si="37"/>
        <v>0</v>
      </c>
      <c r="AC43" s="217">
        <f t="shared" si="17"/>
        <v>0</v>
      </c>
      <c r="AD43" s="217">
        <f t="shared" si="18"/>
        <v>0</v>
      </c>
      <c r="AE43" s="212">
        <f t="shared" si="20"/>
        <v>0</v>
      </c>
      <c r="AF43" s="61"/>
    </row>
    <row r="44" spans="3:32" outlineLevel="1" x14ac:dyDescent="0.2">
      <c r="C44" s="16">
        <f t="shared" si="19"/>
        <v>0</v>
      </c>
      <c r="E44" s="233">
        <v>45218</v>
      </c>
      <c r="F44" s="234" t="s">
        <v>53</v>
      </c>
      <c r="G44" s="235">
        <v>1289</v>
      </c>
      <c r="H44" s="538">
        <f t="shared" si="23"/>
        <v>80</v>
      </c>
      <c r="I44" s="236" t="s">
        <v>152</v>
      </c>
      <c r="J44" s="241" t="s">
        <v>153</v>
      </c>
      <c r="K44" s="242" t="s">
        <v>46</v>
      </c>
      <c r="L44" s="240">
        <v>45</v>
      </c>
      <c r="M44" s="7">
        <f t="shared" si="38"/>
        <v>0</v>
      </c>
      <c r="N44" s="7">
        <f t="shared" si="24"/>
        <v>45</v>
      </c>
      <c r="O44" s="217">
        <f t="shared" si="25"/>
        <v>0</v>
      </c>
      <c r="P44" s="221">
        <f t="shared" si="26"/>
        <v>0</v>
      </c>
      <c r="Q44" s="222">
        <f t="shared" si="27"/>
        <v>0</v>
      </c>
      <c r="R44" s="222">
        <f t="shared" si="28"/>
        <v>0</v>
      </c>
      <c r="S44" s="222">
        <f t="shared" si="29"/>
        <v>0</v>
      </c>
      <c r="T44" s="223">
        <f t="shared" si="30"/>
        <v>0</v>
      </c>
      <c r="U44" s="223">
        <f t="shared" si="31"/>
        <v>0</v>
      </c>
      <c r="V44" s="56"/>
      <c r="W44" s="217">
        <f t="shared" si="32"/>
        <v>45</v>
      </c>
      <c r="X44" s="217">
        <f t="shared" si="33"/>
        <v>0</v>
      </c>
      <c r="Y44" s="217">
        <f t="shared" si="34"/>
        <v>0</v>
      </c>
      <c r="Z44" s="217">
        <f t="shared" si="35"/>
        <v>0</v>
      </c>
      <c r="AA44" s="217">
        <f t="shared" si="36"/>
        <v>0</v>
      </c>
      <c r="AB44" s="217">
        <f t="shared" si="37"/>
        <v>0</v>
      </c>
      <c r="AC44" s="217">
        <f t="shared" si="17"/>
        <v>0</v>
      </c>
      <c r="AD44" s="217">
        <f t="shared" si="18"/>
        <v>0</v>
      </c>
      <c r="AE44" s="212">
        <f t="shared" si="20"/>
        <v>0</v>
      </c>
      <c r="AF44" s="61"/>
    </row>
    <row r="45" spans="3:32" outlineLevel="1" x14ac:dyDescent="0.2">
      <c r="C45" s="16">
        <f t="shared" si="19"/>
        <v>0</v>
      </c>
      <c r="E45" s="233">
        <v>45218</v>
      </c>
      <c r="F45" s="234" t="s">
        <v>155</v>
      </c>
      <c r="G45" s="235">
        <v>1290</v>
      </c>
      <c r="H45" s="538">
        <f t="shared" si="23"/>
        <v>81</v>
      </c>
      <c r="I45" s="236" t="s">
        <v>152</v>
      </c>
      <c r="J45" s="241" t="s">
        <v>153</v>
      </c>
      <c r="K45" s="242" t="s">
        <v>45</v>
      </c>
      <c r="L45" s="240">
        <v>60</v>
      </c>
      <c r="M45" s="7">
        <f t="shared" si="38"/>
        <v>0</v>
      </c>
      <c r="N45" s="7">
        <f t="shared" si="24"/>
        <v>60</v>
      </c>
      <c r="O45" s="217">
        <f t="shared" si="25"/>
        <v>0</v>
      </c>
      <c r="P45" s="221">
        <f t="shared" si="26"/>
        <v>0</v>
      </c>
      <c r="Q45" s="222">
        <f t="shared" si="27"/>
        <v>0</v>
      </c>
      <c r="R45" s="222">
        <f t="shared" si="28"/>
        <v>0</v>
      </c>
      <c r="S45" s="222">
        <f t="shared" si="29"/>
        <v>0</v>
      </c>
      <c r="T45" s="223">
        <f t="shared" si="30"/>
        <v>0</v>
      </c>
      <c r="U45" s="223">
        <f t="shared" si="31"/>
        <v>0</v>
      </c>
      <c r="V45" s="56"/>
      <c r="W45" s="217">
        <f t="shared" si="32"/>
        <v>0</v>
      </c>
      <c r="X45" s="217">
        <f t="shared" si="33"/>
        <v>0</v>
      </c>
      <c r="Y45" s="217">
        <f t="shared" si="34"/>
        <v>0</v>
      </c>
      <c r="Z45" s="217">
        <f t="shared" si="35"/>
        <v>0</v>
      </c>
      <c r="AA45" s="217">
        <f t="shared" si="36"/>
        <v>60</v>
      </c>
      <c r="AB45" s="217">
        <f t="shared" si="37"/>
        <v>0</v>
      </c>
      <c r="AC45" s="217">
        <f t="shared" si="17"/>
        <v>0</v>
      </c>
      <c r="AD45" s="217">
        <f t="shared" si="18"/>
        <v>0</v>
      </c>
      <c r="AE45" s="212">
        <f t="shared" si="20"/>
        <v>0</v>
      </c>
      <c r="AF45" s="61"/>
    </row>
    <row r="46" spans="3:32" outlineLevel="1" x14ac:dyDescent="0.2">
      <c r="C46" s="16">
        <f t="shared" si="19"/>
        <v>0</v>
      </c>
      <c r="E46" s="233">
        <v>45229</v>
      </c>
      <c r="F46" s="234" t="s">
        <v>133</v>
      </c>
      <c r="G46" s="235">
        <v>1291</v>
      </c>
      <c r="H46" s="538">
        <f t="shared" si="23"/>
        <v>82</v>
      </c>
      <c r="I46" s="236" t="s">
        <v>152</v>
      </c>
      <c r="J46" s="241" t="s">
        <v>153</v>
      </c>
      <c r="K46" s="242" t="s">
        <v>136</v>
      </c>
      <c r="L46" s="240">
        <v>75</v>
      </c>
      <c r="M46" s="7">
        <f t="shared" ref="M46" si="39">IF(J46="Yes",L46/6,0)</f>
        <v>0</v>
      </c>
      <c r="N46" s="7">
        <f t="shared" ref="N46" si="40">L46-M46</f>
        <v>75</v>
      </c>
      <c r="O46" s="217">
        <f t="shared" ref="O46" si="41">IF(K46="Staff costs (incl payroll mgt fees)",N46,0)</f>
        <v>0</v>
      </c>
      <c r="P46" s="221">
        <f t="shared" si="26"/>
        <v>0</v>
      </c>
      <c r="Q46" s="222">
        <f t="shared" si="27"/>
        <v>0</v>
      </c>
      <c r="R46" s="222">
        <f t="shared" ref="R46" si="42">IF(K46="Playground maintenance",N46,0)</f>
        <v>0</v>
      </c>
      <c r="S46" s="222">
        <f t="shared" ref="S46" si="43">IF(K46="Playing Field maintenance",N46,0)</f>
        <v>0</v>
      </c>
      <c r="T46" s="223">
        <f t="shared" ref="T46" si="44">IF(K46="RoSPA",N46,0)</f>
        <v>0</v>
      </c>
      <c r="U46" s="223">
        <f t="shared" ref="U46" si="45">IF(K46="CCTV",N46,0)</f>
        <v>0</v>
      </c>
      <c r="V46" s="56"/>
      <c r="W46" s="217">
        <f t="shared" ref="W46" si="46">IF(K46="Meeting costs",N46,0)</f>
        <v>0</v>
      </c>
      <c r="X46" s="217">
        <f t="shared" ref="X46" si="47">IF(K46="New Assets",N46,0)</f>
        <v>0</v>
      </c>
      <c r="Y46" s="217">
        <f t="shared" ref="Y46" si="48">IF(K46="Insurance",N46,0)</f>
        <v>0</v>
      </c>
      <c r="Z46" s="217">
        <f t="shared" ref="Z46" si="49">IF(K46="Councillor training",N46,0)</f>
        <v>0</v>
      </c>
      <c r="AA46" s="217">
        <f t="shared" ref="AA46" si="50">IF(K46="s. 137 costs",N46,0)</f>
        <v>0</v>
      </c>
      <c r="AB46" s="217">
        <f t="shared" ref="AB46" si="51">IF(K46="May 23 local election costs",N46,0)</f>
        <v>75</v>
      </c>
      <c r="AC46" s="217">
        <f t="shared" si="17"/>
        <v>0</v>
      </c>
      <c r="AD46" s="217">
        <f t="shared" si="18"/>
        <v>0</v>
      </c>
      <c r="AE46" s="212">
        <f t="shared" si="20"/>
        <v>0</v>
      </c>
      <c r="AF46" s="61"/>
    </row>
    <row r="47" spans="3:32" outlineLevel="1" x14ac:dyDescent="0.2">
      <c r="C47" s="16">
        <f t="shared" si="19"/>
        <v>0</v>
      </c>
      <c r="E47" s="233">
        <v>45246</v>
      </c>
      <c r="F47" s="243" t="s">
        <v>66</v>
      </c>
      <c r="G47" s="235">
        <v>1292</v>
      </c>
      <c r="H47" s="538">
        <f t="shared" si="23"/>
        <v>83</v>
      </c>
      <c r="I47" s="236" t="s">
        <v>152</v>
      </c>
      <c r="J47" s="241" t="s">
        <v>153</v>
      </c>
      <c r="K47" s="242" t="s">
        <v>6</v>
      </c>
      <c r="L47" s="237">
        <v>275</v>
      </c>
      <c r="M47" s="7">
        <f t="shared" si="38"/>
        <v>0</v>
      </c>
      <c r="N47" s="7">
        <f t="shared" si="24"/>
        <v>275</v>
      </c>
      <c r="O47" s="217">
        <f t="shared" si="25"/>
        <v>275</v>
      </c>
      <c r="P47" s="221">
        <f t="shared" si="26"/>
        <v>0</v>
      </c>
      <c r="Q47" s="222">
        <f t="shared" si="27"/>
        <v>0</v>
      </c>
      <c r="R47" s="222">
        <f t="shared" si="28"/>
        <v>0</v>
      </c>
      <c r="S47" s="222">
        <f t="shared" si="29"/>
        <v>0</v>
      </c>
      <c r="T47" s="223">
        <f t="shared" si="30"/>
        <v>0</v>
      </c>
      <c r="U47" s="223">
        <f t="shared" si="31"/>
        <v>0</v>
      </c>
      <c r="V47" s="56"/>
      <c r="W47" s="217">
        <f t="shared" si="32"/>
        <v>0</v>
      </c>
      <c r="X47" s="217">
        <f t="shared" si="33"/>
        <v>0</v>
      </c>
      <c r="Y47" s="217">
        <f t="shared" si="34"/>
        <v>0</v>
      </c>
      <c r="Z47" s="217">
        <f t="shared" si="35"/>
        <v>0</v>
      </c>
      <c r="AA47" s="217">
        <f t="shared" si="36"/>
        <v>0</v>
      </c>
      <c r="AB47" s="217">
        <f t="shared" si="37"/>
        <v>0</v>
      </c>
      <c r="AC47" s="217">
        <f t="shared" si="17"/>
        <v>0</v>
      </c>
      <c r="AD47" s="217">
        <f t="shared" si="18"/>
        <v>0</v>
      </c>
      <c r="AE47" s="212">
        <f t="shared" si="20"/>
        <v>0</v>
      </c>
      <c r="AF47" s="61"/>
    </row>
    <row r="48" spans="3:32" outlineLevel="1" x14ac:dyDescent="0.2">
      <c r="C48" s="16">
        <f t="shared" si="19"/>
        <v>0</v>
      </c>
      <c r="E48" s="233">
        <v>45246</v>
      </c>
      <c r="F48" s="243" t="s">
        <v>59</v>
      </c>
      <c r="G48" s="235">
        <v>1293</v>
      </c>
      <c r="H48" s="538">
        <f t="shared" si="23"/>
        <v>84</v>
      </c>
      <c r="I48" s="236" t="s">
        <v>152</v>
      </c>
      <c r="J48" s="241" t="s">
        <v>153</v>
      </c>
      <c r="K48" s="242" t="s">
        <v>47</v>
      </c>
      <c r="L48" s="237">
        <v>69.58</v>
      </c>
      <c r="M48" s="7">
        <f t="shared" si="38"/>
        <v>0</v>
      </c>
      <c r="N48" s="7">
        <f t="shared" si="24"/>
        <v>69.58</v>
      </c>
      <c r="O48" s="217">
        <f t="shared" si="25"/>
        <v>0</v>
      </c>
      <c r="P48" s="221">
        <f t="shared" si="26"/>
        <v>0</v>
      </c>
      <c r="Q48" s="222">
        <f t="shared" si="27"/>
        <v>0</v>
      </c>
      <c r="R48" s="222">
        <f t="shared" si="28"/>
        <v>0</v>
      </c>
      <c r="S48" s="222">
        <f t="shared" si="29"/>
        <v>0</v>
      </c>
      <c r="T48" s="223">
        <f t="shared" si="30"/>
        <v>0</v>
      </c>
      <c r="U48" s="223">
        <f t="shared" si="31"/>
        <v>0</v>
      </c>
      <c r="V48" s="56"/>
      <c r="W48" s="217">
        <f t="shared" si="32"/>
        <v>0</v>
      </c>
      <c r="X48" s="217">
        <f t="shared" si="33"/>
        <v>0</v>
      </c>
      <c r="Y48" s="217">
        <f t="shared" si="34"/>
        <v>0</v>
      </c>
      <c r="Z48" s="217">
        <f t="shared" si="35"/>
        <v>0</v>
      </c>
      <c r="AA48" s="217">
        <f t="shared" si="36"/>
        <v>0</v>
      </c>
      <c r="AB48" s="217">
        <f t="shared" si="37"/>
        <v>0</v>
      </c>
      <c r="AC48" s="217">
        <f t="shared" si="17"/>
        <v>69.58</v>
      </c>
      <c r="AD48" s="217">
        <f t="shared" si="18"/>
        <v>0</v>
      </c>
      <c r="AE48" s="212">
        <f t="shared" si="20"/>
        <v>0</v>
      </c>
      <c r="AF48" s="61"/>
    </row>
    <row r="49" spans="3:59" outlineLevel="1" x14ac:dyDescent="0.2">
      <c r="C49" s="16">
        <f t="shared" si="19"/>
        <v>0</v>
      </c>
      <c r="E49" s="233">
        <v>45246</v>
      </c>
      <c r="F49" s="243" t="s">
        <v>53</v>
      </c>
      <c r="G49" s="235">
        <v>1294</v>
      </c>
      <c r="H49" s="538">
        <f t="shared" si="23"/>
        <v>85</v>
      </c>
      <c r="I49" s="236" t="s">
        <v>152</v>
      </c>
      <c r="J49" s="241" t="s">
        <v>153</v>
      </c>
      <c r="K49" s="242" t="s">
        <v>46</v>
      </c>
      <c r="L49" s="237">
        <v>75</v>
      </c>
      <c r="M49" s="7">
        <f t="shared" si="38"/>
        <v>0</v>
      </c>
      <c r="N49" s="7">
        <f t="shared" si="24"/>
        <v>75</v>
      </c>
      <c r="O49" s="217">
        <f t="shared" si="25"/>
        <v>0</v>
      </c>
      <c r="P49" s="221">
        <f t="shared" si="26"/>
        <v>0</v>
      </c>
      <c r="Q49" s="222">
        <f t="shared" si="27"/>
        <v>0</v>
      </c>
      <c r="R49" s="222">
        <f t="shared" si="28"/>
        <v>0</v>
      </c>
      <c r="S49" s="222">
        <f t="shared" si="29"/>
        <v>0</v>
      </c>
      <c r="T49" s="223">
        <f t="shared" si="30"/>
        <v>0</v>
      </c>
      <c r="U49" s="223">
        <f t="shared" si="31"/>
        <v>0</v>
      </c>
      <c r="V49" s="56"/>
      <c r="W49" s="217">
        <f t="shared" si="32"/>
        <v>75</v>
      </c>
      <c r="X49" s="217">
        <f t="shared" si="33"/>
        <v>0</v>
      </c>
      <c r="Y49" s="217">
        <f t="shared" si="34"/>
        <v>0</v>
      </c>
      <c r="Z49" s="217">
        <f t="shared" si="35"/>
        <v>0</v>
      </c>
      <c r="AA49" s="217">
        <f t="shared" si="36"/>
        <v>0</v>
      </c>
      <c r="AB49" s="217">
        <f t="shared" si="37"/>
        <v>0</v>
      </c>
      <c r="AC49" s="217">
        <f t="shared" si="17"/>
        <v>0</v>
      </c>
      <c r="AD49" s="217">
        <f t="shared" si="18"/>
        <v>0</v>
      </c>
      <c r="AE49" s="212">
        <f t="shared" si="20"/>
        <v>0</v>
      </c>
      <c r="AF49" s="61"/>
    </row>
    <row r="50" spans="3:59" outlineLevel="1" x14ac:dyDescent="0.2">
      <c r="C50" s="16">
        <f t="shared" si="19"/>
        <v>0</v>
      </c>
      <c r="E50" s="233">
        <v>45275</v>
      </c>
      <c r="F50" s="243" t="s">
        <v>53</v>
      </c>
      <c r="G50" s="235">
        <f>G49+1</f>
        <v>1295</v>
      </c>
      <c r="H50" s="538">
        <f t="shared" si="23"/>
        <v>86</v>
      </c>
      <c r="I50" s="236" t="s">
        <v>152</v>
      </c>
      <c r="J50" s="241" t="s">
        <v>153</v>
      </c>
      <c r="K50" s="242" t="s">
        <v>46</v>
      </c>
      <c r="L50" s="240">
        <v>60</v>
      </c>
      <c r="M50" s="7">
        <f t="shared" si="38"/>
        <v>0</v>
      </c>
      <c r="N50" s="7">
        <f t="shared" si="24"/>
        <v>60</v>
      </c>
      <c r="O50" s="217">
        <f t="shared" si="25"/>
        <v>0</v>
      </c>
      <c r="P50" s="221">
        <f t="shared" si="26"/>
        <v>0</v>
      </c>
      <c r="Q50" s="222">
        <f t="shared" si="27"/>
        <v>0</v>
      </c>
      <c r="R50" s="222">
        <f t="shared" si="28"/>
        <v>0</v>
      </c>
      <c r="S50" s="222">
        <f t="shared" si="29"/>
        <v>0</v>
      </c>
      <c r="T50" s="223">
        <f t="shared" si="30"/>
        <v>0</v>
      </c>
      <c r="U50" s="223">
        <f t="shared" si="31"/>
        <v>0</v>
      </c>
      <c r="V50" s="56"/>
      <c r="W50" s="217">
        <f t="shared" si="32"/>
        <v>60</v>
      </c>
      <c r="X50" s="217">
        <f t="shared" si="33"/>
        <v>0</v>
      </c>
      <c r="Y50" s="217">
        <f t="shared" si="34"/>
        <v>0</v>
      </c>
      <c r="Z50" s="217">
        <f t="shared" si="35"/>
        <v>0</v>
      </c>
      <c r="AA50" s="217">
        <f t="shared" si="36"/>
        <v>0</v>
      </c>
      <c r="AB50" s="217">
        <f t="shared" si="37"/>
        <v>0</v>
      </c>
      <c r="AC50" s="217">
        <f t="shared" ref="AC50:AC66" si="52">IF(K50="All other costs",N50,0)</f>
        <v>0</v>
      </c>
      <c r="AD50" s="217">
        <f t="shared" ref="AD50:AD72" si="53">IF(K50="Prepayment for 2024/25",N50,0)</f>
        <v>0</v>
      </c>
      <c r="AE50" s="212">
        <f t="shared" si="20"/>
        <v>0</v>
      </c>
      <c r="AF50" s="61"/>
    </row>
    <row r="51" spans="3:59" outlineLevel="1" x14ac:dyDescent="0.2">
      <c r="C51" s="16">
        <f t="shared" si="19"/>
        <v>0</v>
      </c>
      <c r="E51" s="244">
        <v>45275</v>
      </c>
      <c r="F51" s="245" t="s">
        <v>166</v>
      </c>
      <c r="G51" s="246">
        <v>1297</v>
      </c>
      <c r="H51" s="538"/>
      <c r="I51" s="247" t="s">
        <v>152</v>
      </c>
      <c r="J51" s="248" t="s">
        <v>153</v>
      </c>
      <c r="K51" s="249" t="s">
        <v>135</v>
      </c>
      <c r="L51" s="240">
        <v>0</v>
      </c>
      <c r="M51" s="7">
        <f t="shared" si="38"/>
        <v>0</v>
      </c>
      <c r="N51" s="7">
        <f t="shared" si="24"/>
        <v>0</v>
      </c>
      <c r="O51" s="217">
        <f t="shared" si="25"/>
        <v>0</v>
      </c>
      <c r="P51" s="221">
        <f t="shared" si="26"/>
        <v>0</v>
      </c>
      <c r="Q51" s="222">
        <f t="shared" si="27"/>
        <v>0</v>
      </c>
      <c r="R51" s="222">
        <f t="shared" si="28"/>
        <v>0</v>
      </c>
      <c r="S51" s="222">
        <f t="shared" si="29"/>
        <v>0</v>
      </c>
      <c r="T51" s="223">
        <f t="shared" si="30"/>
        <v>0</v>
      </c>
      <c r="U51" s="223">
        <f t="shared" si="31"/>
        <v>0</v>
      </c>
      <c r="V51" s="56"/>
      <c r="W51" s="217">
        <f t="shared" si="32"/>
        <v>0</v>
      </c>
      <c r="X51" s="217">
        <f t="shared" si="33"/>
        <v>0</v>
      </c>
      <c r="Y51" s="217">
        <f t="shared" si="34"/>
        <v>0</v>
      </c>
      <c r="Z51" s="217">
        <f t="shared" si="35"/>
        <v>0</v>
      </c>
      <c r="AA51" s="217">
        <f t="shared" si="36"/>
        <v>0</v>
      </c>
      <c r="AB51" s="217">
        <f t="shared" si="37"/>
        <v>0</v>
      </c>
      <c r="AC51" s="217">
        <f t="shared" si="52"/>
        <v>0</v>
      </c>
      <c r="AD51" s="217">
        <f t="shared" si="53"/>
        <v>0</v>
      </c>
      <c r="AE51" s="212">
        <f t="shared" si="20"/>
        <v>0</v>
      </c>
      <c r="AF51" s="61"/>
    </row>
    <row r="52" spans="3:59" outlineLevel="1" x14ac:dyDescent="0.2">
      <c r="C52" s="16">
        <f t="shared" si="19"/>
        <v>0</v>
      </c>
      <c r="E52" s="233">
        <v>45275</v>
      </c>
      <c r="F52" s="243" t="s">
        <v>66</v>
      </c>
      <c r="G52" s="235">
        <v>1296</v>
      </c>
      <c r="H52" s="538">
        <v>87</v>
      </c>
      <c r="I52" s="236" t="s">
        <v>152</v>
      </c>
      <c r="J52" s="241" t="s">
        <v>153</v>
      </c>
      <c r="K52" s="242" t="s">
        <v>6</v>
      </c>
      <c r="L52" s="240">
        <v>275</v>
      </c>
      <c r="M52" s="7">
        <f t="shared" si="38"/>
        <v>0</v>
      </c>
      <c r="N52" s="7">
        <f t="shared" si="24"/>
        <v>275</v>
      </c>
      <c r="O52" s="217">
        <f t="shared" si="25"/>
        <v>275</v>
      </c>
      <c r="P52" s="221">
        <f t="shared" si="26"/>
        <v>0</v>
      </c>
      <c r="Q52" s="222">
        <f t="shared" si="27"/>
        <v>0</v>
      </c>
      <c r="R52" s="222">
        <f t="shared" si="28"/>
        <v>0</v>
      </c>
      <c r="S52" s="222">
        <f t="shared" si="29"/>
        <v>0</v>
      </c>
      <c r="T52" s="223">
        <f t="shared" si="30"/>
        <v>0</v>
      </c>
      <c r="U52" s="223">
        <f t="shared" si="31"/>
        <v>0</v>
      </c>
      <c r="V52" s="56"/>
      <c r="W52" s="217">
        <f t="shared" si="32"/>
        <v>0</v>
      </c>
      <c r="X52" s="217">
        <f t="shared" si="33"/>
        <v>0</v>
      </c>
      <c r="Y52" s="217">
        <f t="shared" si="34"/>
        <v>0</v>
      </c>
      <c r="Z52" s="217">
        <f t="shared" si="35"/>
        <v>0</v>
      </c>
      <c r="AA52" s="217">
        <f t="shared" si="36"/>
        <v>0</v>
      </c>
      <c r="AB52" s="217">
        <f t="shared" si="37"/>
        <v>0</v>
      </c>
      <c r="AC52" s="217">
        <f t="shared" si="52"/>
        <v>0</v>
      </c>
      <c r="AD52" s="217">
        <f t="shared" si="53"/>
        <v>0</v>
      </c>
      <c r="AE52" s="212">
        <f t="shared" si="20"/>
        <v>0</v>
      </c>
      <c r="AF52" s="61"/>
    </row>
    <row r="53" spans="3:59" outlineLevel="1" x14ac:dyDescent="0.2">
      <c r="C53" s="16">
        <f t="shared" si="19"/>
        <v>0</v>
      </c>
      <c r="E53" s="233">
        <v>45275</v>
      </c>
      <c r="F53" s="243" t="s">
        <v>37</v>
      </c>
      <c r="G53" s="235">
        <f t="shared" ref="G53" si="54">G52+1</f>
        <v>1297</v>
      </c>
      <c r="H53" s="538">
        <v>89</v>
      </c>
      <c r="I53" s="236" t="s">
        <v>152</v>
      </c>
      <c r="J53" s="241" t="s">
        <v>153</v>
      </c>
      <c r="K53" s="242" t="s">
        <v>170</v>
      </c>
      <c r="L53" s="240">
        <v>68.849999999999994</v>
      </c>
      <c r="M53" s="7">
        <f t="shared" si="38"/>
        <v>0</v>
      </c>
      <c r="N53" s="7">
        <f t="shared" si="24"/>
        <v>68.849999999999994</v>
      </c>
      <c r="O53" s="217">
        <f t="shared" si="25"/>
        <v>0</v>
      </c>
      <c r="P53" s="221">
        <f t="shared" si="26"/>
        <v>0</v>
      </c>
      <c r="Q53" s="222">
        <f t="shared" si="27"/>
        <v>68.849999999999994</v>
      </c>
      <c r="R53" s="222">
        <f t="shared" si="28"/>
        <v>0</v>
      </c>
      <c r="S53" s="222">
        <f t="shared" si="29"/>
        <v>0</v>
      </c>
      <c r="T53" s="223">
        <f t="shared" si="30"/>
        <v>0</v>
      </c>
      <c r="U53" s="223">
        <f t="shared" si="31"/>
        <v>0</v>
      </c>
      <c r="V53" s="56"/>
      <c r="W53" s="217">
        <f t="shared" si="32"/>
        <v>0</v>
      </c>
      <c r="X53" s="217">
        <f t="shared" si="33"/>
        <v>0</v>
      </c>
      <c r="Y53" s="217">
        <f t="shared" si="34"/>
        <v>0</v>
      </c>
      <c r="Z53" s="217">
        <f t="shared" si="35"/>
        <v>0</v>
      </c>
      <c r="AA53" s="217">
        <f t="shared" si="36"/>
        <v>0</v>
      </c>
      <c r="AB53" s="217">
        <f t="shared" si="37"/>
        <v>0</v>
      </c>
      <c r="AC53" s="217">
        <f t="shared" si="52"/>
        <v>0</v>
      </c>
      <c r="AD53" s="217">
        <f t="shared" si="53"/>
        <v>0</v>
      </c>
      <c r="AE53" s="212">
        <f t="shared" si="20"/>
        <v>0</v>
      </c>
      <c r="AF53" s="61"/>
    </row>
    <row r="54" spans="3:59" outlineLevel="1" x14ac:dyDescent="0.2">
      <c r="C54" s="16">
        <f t="shared" si="19"/>
        <v>0</v>
      </c>
      <c r="E54" s="233">
        <v>45314</v>
      </c>
      <c r="F54" s="243" t="s">
        <v>165</v>
      </c>
      <c r="G54" s="235" t="s">
        <v>63</v>
      </c>
      <c r="H54" s="538">
        <v>88</v>
      </c>
      <c r="I54" s="236" t="s">
        <v>152</v>
      </c>
      <c r="J54" s="241" t="s">
        <v>153</v>
      </c>
      <c r="K54" s="242" t="s">
        <v>47</v>
      </c>
      <c r="L54" s="240">
        <v>36</v>
      </c>
      <c r="M54" s="7">
        <f t="shared" si="38"/>
        <v>0</v>
      </c>
      <c r="N54" s="7">
        <f t="shared" si="24"/>
        <v>36</v>
      </c>
      <c r="O54" s="217">
        <f t="shared" si="25"/>
        <v>0</v>
      </c>
      <c r="P54" s="221">
        <f t="shared" si="26"/>
        <v>0</v>
      </c>
      <c r="Q54" s="222">
        <f t="shared" si="27"/>
        <v>0</v>
      </c>
      <c r="R54" s="222">
        <f t="shared" si="28"/>
        <v>0</v>
      </c>
      <c r="S54" s="222">
        <f t="shared" si="29"/>
        <v>0</v>
      </c>
      <c r="T54" s="223">
        <f t="shared" si="30"/>
        <v>0</v>
      </c>
      <c r="U54" s="223">
        <f t="shared" si="31"/>
        <v>0</v>
      </c>
      <c r="V54" s="56"/>
      <c r="W54" s="217">
        <f t="shared" si="32"/>
        <v>0</v>
      </c>
      <c r="X54" s="217">
        <f t="shared" si="33"/>
        <v>0</v>
      </c>
      <c r="Y54" s="217">
        <f t="shared" si="34"/>
        <v>0</v>
      </c>
      <c r="Z54" s="217">
        <f t="shared" si="35"/>
        <v>0</v>
      </c>
      <c r="AA54" s="217">
        <f t="shared" si="36"/>
        <v>0</v>
      </c>
      <c r="AB54" s="217">
        <f t="shared" si="37"/>
        <v>0</v>
      </c>
      <c r="AC54" s="217">
        <f t="shared" si="52"/>
        <v>36</v>
      </c>
      <c r="AD54" s="217">
        <f t="shared" si="53"/>
        <v>0</v>
      </c>
      <c r="AE54" s="212">
        <f t="shared" si="20"/>
        <v>0</v>
      </c>
      <c r="AF54" s="61"/>
    </row>
    <row r="55" spans="3:59" outlineLevel="1" x14ac:dyDescent="0.2">
      <c r="C55" s="16">
        <f t="shared" si="19"/>
        <v>0</v>
      </c>
      <c r="E55" s="233">
        <v>45307</v>
      </c>
      <c r="F55" s="243" t="s">
        <v>145</v>
      </c>
      <c r="G55" s="235">
        <v>1299</v>
      </c>
      <c r="H55" s="538">
        <v>90</v>
      </c>
      <c r="I55" s="236" t="s">
        <v>152</v>
      </c>
      <c r="J55" s="241" t="s">
        <v>153</v>
      </c>
      <c r="K55" s="242" t="s">
        <v>169</v>
      </c>
      <c r="L55" s="240">
        <v>140</v>
      </c>
      <c r="M55" s="7">
        <f t="shared" si="38"/>
        <v>0</v>
      </c>
      <c r="N55" s="7">
        <f t="shared" si="24"/>
        <v>140</v>
      </c>
      <c r="O55" s="217">
        <f t="shared" si="25"/>
        <v>0</v>
      </c>
      <c r="P55" s="221">
        <f t="shared" si="26"/>
        <v>140</v>
      </c>
      <c r="Q55" s="222">
        <f t="shared" si="27"/>
        <v>0</v>
      </c>
      <c r="R55" s="222">
        <f t="shared" si="28"/>
        <v>0</v>
      </c>
      <c r="S55" s="222">
        <f t="shared" si="29"/>
        <v>0</v>
      </c>
      <c r="T55" s="223">
        <f t="shared" si="30"/>
        <v>0</v>
      </c>
      <c r="U55" s="223">
        <f t="shared" si="31"/>
        <v>0</v>
      </c>
      <c r="V55" s="56"/>
      <c r="W55" s="217">
        <f t="shared" si="32"/>
        <v>0</v>
      </c>
      <c r="X55" s="217">
        <f t="shared" si="33"/>
        <v>0</v>
      </c>
      <c r="Y55" s="217">
        <f t="shared" si="34"/>
        <v>0</v>
      </c>
      <c r="Z55" s="217">
        <f t="shared" si="35"/>
        <v>0</v>
      </c>
      <c r="AA55" s="217">
        <f t="shared" si="36"/>
        <v>0</v>
      </c>
      <c r="AB55" s="217">
        <f t="shared" si="37"/>
        <v>0</v>
      </c>
      <c r="AC55" s="217">
        <f t="shared" si="52"/>
        <v>0</v>
      </c>
      <c r="AD55" s="217">
        <f t="shared" si="53"/>
        <v>0</v>
      </c>
      <c r="AE55" s="212">
        <f t="shared" si="20"/>
        <v>0</v>
      </c>
      <c r="AF55" s="61"/>
    </row>
    <row r="56" spans="3:59" outlineLevel="1" x14ac:dyDescent="0.2">
      <c r="C56" s="16">
        <f t="shared" si="19"/>
        <v>0</v>
      </c>
      <c r="E56" s="244">
        <v>45337</v>
      </c>
      <c r="F56" s="245" t="s">
        <v>176</v>
      </c>
      <c r="G56" s="246">
        <v>1300</v>
      </c>
      <c r="H56" s="538"/>
      <c r="I56" s="247" t="s">
        <v>153</v>
      </c>
      <c r="J56" s="248" t="s">
        <v>153</v>
      </c>
      <c r="K56" s="249" t="s">
        <v>46</v>
      </c>
      <c r="L56" s="240">
        <v>0</v>
      </c>
      <c r="M56" s="7">
        <f t="shared" si="38"/>
        <v>0</v>
      </c>
      <c r="N56" s="7">
        <f t="shared" si="24"/>
        <v>0</v>
      </c>
      <c r="O56" s="217">
        <f t="shared" si="25"/>
        <v>0</v>
      </c>
      <c r="P56" s="221">
        <f t="shared" si="26"/>
        <v>0</v>
      </c>
      <c r="Q56" s="222">
        <f t="shared" si="27"/>
        <v>0</v>
      </c>
      <c r="R56" s="222">
        <f t="shared" si="28"/>
        <v>0</v>
      </c>
      <c r="S56" s="222">
        <f t="shared" si="29"/>
        <v>0</v>
      </c>
      <c r="T56" s="223">
        <f t="shared" si="30"/>
        <v>0</v>
      </c>
      <c r="U56" s="223">
        <f t="shared" si="31"/>
        <v>0</v>
      </c>
      <c r="V56" s="56"/>
      <c r="W56" s="217">
        <f t="shared" si="32"/>
        <v>0</v>
      </c>
      <c r="X56" s="217">
        <f t="shared" si="33"/>
        <v>0</v>
      </c>
      <c r="Y56" s="217">
        <f t="shared" si="34"/>
        <v>0</v>
      </c>
      <c r="Z56" s="217">
        <f t="shared" si="35"/>
        <v>0</v>
      </c>
      <c r="AA56" s="217">
        <f t="shared" si="36"/>
        <v>0</v>
      </c>
      <c r="AB56" s="217">
        <f t="shared" si="37"/>
        <v>0</v>
      </c>
      <c r="AC56" s="217">
        <f t="shared" si="52"/>
        <v>0</v>
      </c>
      <c r="AD56" s="217">
        <f t="shared" si="53"/>
        <v>0</v>
      </c>
      <c r="AE56" s="212">
        <f t="shared" si="20"/>
        <v>0</v>
      </c>
      <c r="AF56" s="61"/>
    </row>
    <row r="57" spans="3:59" outlineLevel="1" x14ac:dyDescent="0.2">
      <c r="C57" s="16">
        <f t="shared" si="19"/>
        <v>0</v>
      </c>
      <c r="E57" s="233">
        <v>45337</v>
      </c>
      <c r="F57" s="243" t="s">
        <v>145</v>
      </c>
      <c r="G57" s="235">
        <v>1301</v>
      </c>
      <c r="H57" s="538">
        <v>91</v>
      </c>
      <c r="I57" s="236" t="s">
        <v>152</v>
      </c>
      <c r="J57" s="241" t="s">
        <v>153</v>
      </c>
      <c r="K57" s="242" t="s">
        <v>169</v>
      </c>
      <c r="L57" s="240">
        <v>105</v>
      </c>
      <c r="M57" s="7">
        <f t="shared" si="38"/>
        <v>0</v>
      </c>
      <c r="N57" s="7">
        <f t="shared" si="24"/>
        <v>105</v>
      </c>
      <c r="O57" s="217">
        <f t="shared" si="25"/>
        <v>0</v>
      </c>
      <c r="P57" s="221">
        <f t="shared" si="26"/>
        <v>105</v>
      </c>
      <c r="Q57" s="222">
        <f t="shared" si="27"/>
        <v>0</v>
      </c>
      <c r="R57" s="222">
        <f t="shared" si="28"/>
        <v>0</v>
      </c>
      <c r="S57" s="222">
        <f t="shared" si="29"/>
        <v>0</v>
      </c>
      <c r="T57" s="223">
        <f t="shared" si="30"/>
        <v>0</v>
      </c>
      <c r="U57" s="223">
        <f t="shared" si="31"/>
        <v>0</v>
      </c>
      <c r="V57" s="56"/>
      <c r="W57" s="217">
        <f t="shared" si="32"/>
        <v>0</v>
      </c>
      <c r="X57" s="217">
        <f t="shared" si="33"/>
        <v>0</v>
      </c>
      <c r="Y57" s="217">
        <f t="shared" si="34"/>
        <v>0</v>
      </c>
      <c r="Z57" s="217">
        <f t="shared" si="35"/>
        <v>0</v>
      </c>
      <c r="AA57" s="217">
        <f t="shared" si="36"/>
        <v>0</v>
      </c>
      <c r="AB57" s="217">
        <f t="shared" si="37"/>
        <v>0</v>
      </c>
      <c r="AC57" s="217">
        <f t="shared" si="52"/>
        <v>0</v>
      </c>
      <c r="AD57" s="217">
        <f t="shared" si="53"/>
        <v>0</v>
      </c>
      <c r="AE57" s="212">
        <f t="shared" si="20"/>
        <v>0</v>
      </c>
      <c r="AF57" s="61"/>
    </row>
    <row r="58" spans="3:59" outlineLevel="1" x14ac:dyDescent="0.2">
      <c r="C58" s="16">
        <f t="shared" si="19"/>
        <v>556</v>
      </c>
      <c r="E58" s="233">
        <v>45337</v>
      </c>
      <c r="F58" s="243" t="s">
        <v>54</v>
      </c>
      <c r="G58" s="235">
        <v>1302</v>
      </c>
      <c r="H58" s="538">
        <f t="shared" si="23"/>
        <v>92</v>
      </c>
      <c r="I58" s="236" t="s">
        <v>153</v>
      </c>
      <c r="J58" s="241" t="s">
        <v>153</v>
      </c>
      <c r="K58" s="242" t="s">
        <v>6</v>
      </c>
      <c r="L58" s="240">
        <v>556</v>
      </c>
      <c r="M58" s="7">
        <f t="shared" si="38"/>
        <v>0</v>
      </c>
      <c r="N58" s="7">
        <f t="shared" si="24"/>
        <v>556</v>
      </c>
      <c r="O58" s="217">
        <v>550</v>
      </c>
      <c r="P58" s="221">
        <f t="shared" si="26"/>
        <v>0</v>
      </c>
      <c r="Q58" s="222">
        <f t="shared" si="27"/>
        <v>0</v>
      </c>
      <c r="R58" s="222">
        <f t="shared" si="28"/>
        <v>0</v>
      </c>
      <c r="S58" s="222">
        <f t="shared" si="29"/>
        <v>0</v>
      </c>
      <c r="T58" s="223">
        <f t="shared" si="30"/>
        <v>0</v>
      </c>
      <c r="U58" s="223">
        <f t="shared" si="31"/>
        <v>0</v>
      </c>
      <c r="V58" s="56"/>
      <c r="W58" s="217">
        <f t="shared" si="32"/>
        <v>0</v>
      </c>
      <c r="X58" s="217">
        <f t="shared" si="33"/>
        <v>0</v>
      </c>
      <c r="Y58" s="217">
        <f t="shared" si="34"/>
        <v>0</v>
      </c>
      <c r="Z58" s="217">
        <f t="shared" si="35"/>
        <v>0</v>
      </c>
      <c r="AA58" s="217">
        <f t="shared" si="36"/>
        <v>0</v>
      </c>
      <c r="AB58" s="217">
        <f t="shared" si="37"/>
        <v>0</v>
      </c>
      <c r="AC58" s="217">
        <v>6</v>
      </c>
      <c r="AD58" s="217">
        <f t="shared" si="53"/>
        <v>0</v>
      </c>
      <c r="AE58" s="212">
        <f t="shared" si="20"/>
        <v>0</v>
      </c>
      <c r="AF58" s="61"/>
    </row>
    <row r="59" spans="3:59" x14ac:dyDescent="0.2">
      <c r="C59" s="16">
        <f t="shared" si="19"/>
        <v>0</v>
      </c>
      <c r="E59" s="233">
        <v>45337</v>
      </c>
      <c r="F59" s="243" t="s">
        <v>173</v>
      </c>
      <c r="G59" s="235">
        <v>1303</v>
      </c>
      <c r="H59" s="538">
        <f t="shared" si="23"/>
        <v>93</v>
      </c>
      <c r="I59" s="236" t="s">
        <v>152</v>
      </c>
      <c r="J59" s="241" t="s">
        <v>153</v>
      </c>
      <c r="K59" s="242" t="s">
        <v>47</v>
      </c>
      <c r="L59" s="240">
        <v>36.799999999999997</v>
      </c>
      <c r="M59" s="7">
        <f t="shared" si="38"/>
        <v>0</v>
      </c>
      <c r="N59" s="7">
        <f t="shared" si="24"/>
        <v>36.799999999999997</v>
      </c>
      <c r="O59" s="217">
        <f t="shared" si="25"/>
        <v>0</v>
      </c>
      <c r="P59" s="221">
        <f t="shared" si="26"/>
        <v>0</v>
      </c>
      <c r="Q59" s="222">
        <f t="shared" si="27"/>
        <v>0</v>
      </c>
      <c r="R59" s="222">
        <f t="shared" si="28"/>
        <v>0</v>
      </c>
      <c r="S59" s="222">
        <f t="shared" si="29"/>
        <v>0</v>
      </c>
      <c r="T59" s="223">
        <f t="shared" si="30"/>
        <v>0</v>
      </c>
      <c r="U59" s="223">
        <f t="shared" si="31"/>
        <v>0</v>
      </c>
      <c r="V59" s="56"/>
      <c r="W59" s="217">
        <f t="shared" si="32"/>
        <v>0</v>
      </c>
      <c r="X59" s="217">
        <f t="shared" si="33"/>
        <v>0</v>
      </c>
      <c r="Y59" s="217">
        <f t="shared" si="34"/>
        <v>0</v>
      </c>
      <c r="Z59" s="217">
        <f t="shared" si="35"/>
        <v>0</v>
      </c>
      <c r="AA59" s="217">
        <f t="shared" si="36"/>
        <v>0</v>
      </c>
      <c r="AB59" s="217">
        <f t="shared" si="37"/>
        <v>0</v>
      </c>
      <c r="AC59" s="217">
        <f t="shared" si="52"/>
        <v>36.799999999999997</v>
      </c>
      <c r="AD59" s="217">
        <f t="shared" si="53"/>
        <v>0</v>
      </c>
      <c r="AE59" s="212">
        <f t="shared" si="20"/>
        <v>0</v>
      </c>
      <c r="AF59" s="61"/>
    </row>
    <row r="60" spans="3:59" outlineLevel="1" x14ac:dyDescent="0.2">
      <c r="C60" s="16">
        <f t="shared" si="19"/>
        <v>0</v>
      </c>
      <c r="E60" s="233">
        <v>45337</v>
      </c>
      <c r="F60" s="243" t="s">
        <v>174</v>
      </c>
      <c r="G60" s="235">
        <v>1304</v>
      </c>
      <c r="H60" s="538">
        <f t="shared" si="23"/>
        <v>94</v>
      </c>
      <c r="I60" s="236" t="s">
        <v>152</v>
      </c>
      <c r="J60" s="241" t="s">
        <v>152</v>
      </c>
      <c r="K60" s="242" t="s">
        <v>151</v>
      </c>
      <c r="L60" s="240">
        <v>1068</v>
      </c>
      <c r="M60" s="7">
        <f t="shared" si="38"/>
        <v>178</v>
      </c>
      <c r="N60" s="7">
        <f t="shared" si="24"/>
        <v>890</v>
      </c>
      <c r="O60" s="217">
        <f t="shared" si="25"/>
        <v>0</v>
      </c>
      <c r="P60" s="221">
        <f t="shared" si="26"/>
        <v>0</v>
      </c>
      <c r="Q60" s="222">
        <f t="shared" si="27"/>
        <v>0</v>
      </c>
      <c r="R60" s="222">
        <f t="shared" si="28"/>
        <v>890</v>
      </c>
      <c r="S60" s="222">
        <f t="shared" si="29"/>
        <v>0</v>
      </c>
      <c r="T60" s="223">
        <f t="shared" si="30"/>
        <v>0</v>
      </c>
      <c r="U60" s="223">
        <f t="shared" si="31"/>
        <v>0</v>
      </c>
      <c r="V60" s="56"/>
      <c r="W60" s="217">
        <f t="shared" si="32"/>
        <v>0</v>
      </c>
      <c r="X60" s="217">
        <f t="shared" si="33"/>
        <v>0</v>
      </c>
      <c r="Y60" s="217">
        <f t="shared" si="34"/>
        <v>0</v>
      </c>
      <c r="Z60" s="217">
        <f t="shared" si="35"/>
        <v>0</v>
      </c>
      <c r="AA60" s="217">
        <f t="shared" si="36"/>
        <v>0</v>
      </c>
      <c r="AB60" s="217">
        <f t="shared" si="37"/>
        <v>0</v>
      </c>
      <c r="AC60" s="217">
        <f t="shared" si="52"/>
        <v>0</v>
      </c>
      <c r="AD60" s="217">
        <f t="shared" si="53"/>
        <v>0</v>
      </c>
      <c r="AE60" s="212">
        <f t="shared" si="20"/>
        <v>0</v>
      </c>
      <c r="AF60" s="61"/>
    </row>
    <row r="61" spans="3:59" outlineLevel="1" x14ac:dyDescent="0.2">
      <c r="C61" s="16">
        <f t="shared" si="19"/>
        <v>0</v>
      </c>
      <c r="E61" s="233">
        <v>45337</v>
      </c>
      <c r="F61" s="243" t="s">
        <v>117</v>
      </c>
      <c r="G61" s="235">
        <v>1305</v>
      </c>
      <c r="H61" s="538">
        <f t="shared" si="23"/>
        <v>95</v>
      </c>
      <c r="I61" s="236" t="s">
        <v>152</v>
      </c>
      <c r="J61" s="241" t="s">
        <v>153</v>
      </c>
      <c r="K61" s="242" t="s">
        <v>6</v>
      </c>
      <c r="L61" s="240">
        <v>275</v>
      </c>
      <c r="M61" s="7">
        <f t="shared" si="38"/>
        <v>0</v>
      </c>
      <c r="N61" s="7">
        <f t="shared" si="24"/>
        <v>275</v>
      </c>
      <c r="O61" s="217">
        <f t="shared" si="25"/>
        <v>275</v>
      </c>
      <c r="P61" s="221">
        <f t="shared" si="26"/>
        <v>0</v>
      </c>
      <c r="Q61" s="222">
        <f t="shared" si="27"/>
        <v>0</v>
      </c>
      <c r="R61" s="222">
        <f t="shared" si="28"/>
        <v>0</v>
      </c>
      <c r="S61" s="222">
        <f t="shared" si="29"/>
        <v>0</v>
      </c>
      <c r="T61" s="223">
        <f t="shared" si="30"/>
        <v>0</v>
      </c>
      <c r="U61" s="223">
        <f t="shared" si="31"/>
        <v>0</v>
      </c>
      <c r="V61" s="56"/>
      <c r="W61" s="217">
        <f t="shared" si="32"/>
        <v>0</v>
      </c>
      <c r="X61" s="217">
        <f t="shared" si="33"/>
        <v>0</v>
      </c>
      <c r="Y61" s="217">
        <f t="shared" si="34"/>
        <v>0</v>
      </c>
      <c r="Z61" s="217">
        <f t="shared" si="35"/>
        <v>0</v>
      </c>
      <c r="AA61" s="217">
        <f t="shared" si="36"/>
        <v>0</v>
      </c>
      <c r="AB61" s="217">
        <f t="shared" si="37"/>
        <v>0</v>
      </c>
      <c r="AC61" s="217">
        <f t="shared" si="52"/>
        <v>0</v>
      </c>
      <c r="AD61" s="217">
        <f t="shared" si="53"/>
        <v>0</v>
      </c>
      <c r="AE61" s="212">
        <f t="shared" si="20"/>
        <v>0</v>
      </c>
      <c r="AF61" s="61"/>
    </row>
    <row r="62" spans="3:59" outlineLevel="1" x14ac:dyDescent="0.2">
      <c r="C62" s="16">
        <f t="shared" si="19"/>
        <v>0</v>
      </c>
      <c r="E62" s="244">
        <v>45337</v>
      </c>
      <c r="F62" s="245" t="s">
        <v>32</v>
      </c>
      <c r="G62" s="246">
        <v>1306</v>
      </c>
      <c r="H62" s="538"/>
      <c r="I62" s="247" t="s">
        <v>153</v>
      </c>
      <c r="J62" s="248"/>
      <c r="K62" s="249"/>
      <c r="L62" s="240">
        <v>0</v>
      </c>
      <c r="M62" s="7">
        <f t="shared" si="38"/>
        <v>0</v>
      </c>
      <c r="N62" s="7">
        <f t="shared" si="24"/>
        <v>0</v>
      </c>
      <c r="O62" s="217">
        <f t="shared" si="25"/>
        <v>0</v>
      </c>
      <c r="P62" s="221">
        <f t="shared" si="26"/>
        <v>0</v>
      </c>
      <c r="Q62" s="222">
        <f t="shared" si="27"/>
        <v>0</v>
      </c>
      <c r="R62" s="222">
        <f t="shared" si="28"/>
        <v>0</v>
      </c>
      <c r="S62" s="222">
        <f t="shared" si="29"/>
        <v>0</v>
      </c>
      <c r="T62" s="223">
        <f t="shared" si="30"/>
        <v>0</v>
      </c>
      <c r="U62" s="223">
        <f t="shared" si="31"/>
        <v>0</v>
      </c>
      <c r="V62" s="56"/>
      <c r="W62" s="217">
        <f t="shared" si="32"/>
        <v>0</v>
      </c>
      <c r="X62" s="217">
        <f t="shared" si="33"/>
        <v>0</v>
      </c>
      <c r="Y62" s="217">
        <f t="shared" si="34"/>
        <v>0</v>
      </c>
      <c r="Z62" s="217">
        <f t="shared" si="35"/>
        <v>0</v>
      </c>
      <c r="AA62" s="217">
        <f t="shared" si="36"/>
        <v>0</v>
      </c>
      <c r="AB62" s="217">
        <f t="shared" si="37"/>
        <v>0</v>
      </c>
      <c r="AC62" s="217">
        <f t="shared" si="52"/>
        <v>0</v>
      </c>
      <c r="AD62" s="217">
        <f t="shared" si="53"/>
        <v>0</v>
      </c>
      <c r="AE62" s="212">
        <f t="shared" si="20"/>
        <v>0</v>
      </c>
      <c r="AF62" s="61"/>
    </row>
    <row r="63" spans="3:59" outlineLevel="1" x14ac:dyDescent="0.2">
      <c r="C63" s="16">
        <f t="shared" si="19"/>
        <v>275</v>
      </c>
      <c r="E63" s="233">
        <v>45372</v>
      </c>
      <c r="F63" s="234" t="s">
        <v>54</v>
      </c>
      <c r="G63" s="235">
        <v>1307</v>
      </c>
      <c r="H63" s="538">
        <v>96</v>
      </c>
      <c r="I63" s="236" t="s">
        <v>153</v>
      </c>
      <c r="J63" s="241" t="s">
        <v>153</v>
      </c>
      <c r="K63" s="242" t="s">
        <v>6</v>
      </c>
      <c r="L63" s="240">
        <v>275</v>
      </c>
      <c r="M63" s="7">
        <f t="shared" si="38"/>
        <v>0</v>
      </c>
      <c r="N63" s="7">
        <f t="shared" si="24"/>
        <v>275</v>
      </c>
      <c r="O63" s="217">
        <f t="shared" si="25"/>
        <v>275</v>
      </c>
      <c r="P63" s="221">
        <f t="shared" si="26"/>
        <v>0</v>
      </c>
      <c r="Q63" s="222">
        <f t="shared" si="27"/>
        <v>0</v>
      </c>
      <c r="R63" s="222">
        <f t="shared" si="28"/>
        <v>0</v>
      </c>
      <c r="S63" s="222">
        <f t="shared" si="29"/>
        <v>0</v>
      </c>
      <c r="T63" s="223">
        <f t="shared" si="30"/>
        <v>0</v>
      </c>
      <c r="U63" s="223">
        <f t="shared" si="31"/>
        <v>0</v>
      </c>
      <c r="V63" s="56"/>
      <c r="W63" s="217">
        <f t="shared" si="32"/>
        <v>0</v>
      </c>
      <c r="X63" s="217">
        <f t="shared" si="33"/>
        <v>0</v>
      </c>
      <c r="Y63" s="217">
        <f t="shared" si="34"/>
        <v>0</v>
      </c>
      <c r="Z63" s="217">
        <f t="shared" si="35"/>
        <v>0</v>
      </c>
      <c r="AA63" s="217">
        <f t="shared" si="36"/>
        <v>0</v>
      </c>
      <c r="AB63" s="217">
        <f t="shared" si="37"/>
        <v>0</v>
      </c>
      <c r="AC63" s="217">
        <f t="shared" si="52"/>
        <v>0</v>
      </c>
      <c r="AD63" s="217">
        <f t="shared" si="53"/>
        <v>0</v>
      </c>
      <c r="AE63" s="212">
        <f t="shared" si="20"/>
        <v>0</v>
      </c>
      <c r="AF63" s="61"/>
      <c r="BC63" s="488"/>
      <c r="BD63" s="488"/>
      <c r="BE63" s="488"/>
      <c r="BF63" s="488"/>
      <c r="BG63" s="488"/>
    </row>
    <row r="64" spans="3:59" outlineLevel="1" x14ac:dyDescent="0.2">
      <c r="C64" s="16">
        <f t="shared" si="19"/>
        <v>0</v>
      </c>
      <c r="E64" s="233">
        <v>45372</v>
      </c>
      <c r="F64" s="234" t="s">
        <v>53</v>
      </c>
      <c r="G64" s="235">
        <v>1308</v>
      </c>
      <c r="H64" s="538">
        <f t="shared" si="23"/>
        <v>97</v>
      </c>
      <c r="I64" s="236" t="s">
        <v>152</v>
      </c>
      <c r="J64" s="241" t="s">
        <v>153</v>
      </c>
      <c r="K64" s="242" t="s">
        <v>46</v>
      </c>
      <c r="L64" s="240">
        <v>135</v>
      </c>
      <c r="M64" s="7">
        <f t="shared" si="38"/>
        <v>0</v>
      </c>
      <c r="N64" s="7">
        <f t="shared" si="24"/>
        <v>135</v>
      </c>
      <c r="O64" s="217">
        <f t="shared" si="25"/>
        <v>0</v>
      </c>
      <c r="P64" s="221">
        <f t="shared" si="26"/>
        <v>0</v>
      </c>
      <c r="Q64" s="222">
        <f t="shared" si="27"/>
        <v>0</v>
      </c>
      <c r="R64" s="222">
        <f t="shared" si="28"/>
        <v>0</v>
      </c>
      <c r="S64" s="222">
        <f t="shared" si="29"/>
        <v>0</v>
      </c>
      <c r="T64" s="223">
        <f t="shared" si="30"/>
        <v>0</v>
      </c>
      <c r="U64" s="223">
        <f t="shared" si="31"/>
        <v>0</v>
      </c>
      <c r="V64" s="56"/>
      <c r="W64" s="217">
        <f t="shared" si="32"/>
        <v>135</v>
      </c>
      <c r="X64" s="217">
        <f t="shared" si="33"/>
        <v>0</v>
      </c>
      <c r="Y64" s="217">
        <f t="shared" si="34"/>
        <v>0</v>
      </c>
      <c r="Z64" s="217">
        <f t="shared" si="35"/>
        <v>0</v>
      </c>
      <c r="AA64" s="217">
        <f t="shared" si="36"/>
        <v>0</v>
      </c>
      <c r="AB64" s="217">
        <f t="shared" si="37"/>
        <v>0</v>
      </c>
      <c r="AC64" s="217">
        <f t="shared" si="52"/>
        <v>0</v>
      </c>
      <c r="AD64" s="217">
        <f t="shared" si="53"/>
        <v>0</v>
      </c>
      <c r="AE64" s="212">
        <f t="shared" si="20"/>
        <v>0</v>
      </c>
      <c r="AF64" s="61"/>
    </row>
    <row r="65" spans="2:59" outlineLevel="1" x14ac:dyDescent="0.2">
      <c r="C65" s="16">
        <f t="shared" si="19"/>
        <v>6050.21</v>
      </c>
      <c r="E65" s="233">
        <v>45372</v>
      </c>
      <c r="F65" s="234" t="s">
        <v>133</v>
      </c>
      <c r="G65" s="235">
        <v>1309</v>
      </c>
      <c r="H65" s="538">
        <f t="shared" si="23"/>
        <v>98</v>
      </c>
      <c r="I65" s="236" t="s">
        <v>153</v>
      </c>
      <c r="J65" s="241" t="s">
        <v>152</v>
      </c>
      <c r="K65" s="242" t="s">
        <v>179</v>
      </c>
      <c r="L65" s="240">
        <v>6050.21</v>
      </c>
      <c r="M65" s="7">
        <f t="shared" si="38"/>
        <v>1008.3683333333333</v>
      </c>
      <c r="N65" s="7">
        <f t="shared" si="24"/>
        <v>5041.8416666666672</v>
      </c>
      <c r="O65" s="217">
        <f t="shared" si="25"/>
        <v>0</v>
      </c>
      <c r="P65" s="221">
        <f t="shared" si="26"/>
        <v>0</v>
      </c>
      <c r="Q65" s="222">
        <f t="shared" si="27"/>
        <v>0</v>
      </c>
      <c r="R65" s="222">
        <f t="shared" si="28"/>
        <v>0</v>
      </c>
      <c r="S65" s="222">
        <f t="shared" si="29"/>
        <v>0</v>
      </c>
      <c r="T65" s="223">
        <f t="shared" si="30"/>
        <v>0</v>
      </c>
      <c r="U65" s="223">
        <f t="shared" si="31"/>
        <v>0</v>
      </c>
      <c r="V65" s="56"/>
      <c r="W65" s="217">
        <f t="shared" si="32"/>
        <v>0</v>
      </c>
      <c r="X65" s="217">
        <f t="shared" si="33"/>
        <v>0</v>
      </c>
      <c r="Y65" s="217">
        <f t="shared" si="34"/>
        <v>0</v>
      </c>
      <c r="Z65" s="217">
        <f t="shared" si="35"/>
        <v>0</v>
      </c>
      <c r="AA65" s="217">
        <f t="shared" si="36"/>
        <v>0</v>
      </c>
      <c r="AB65" s="217">
        <f t="shared" si="37"/>
        <v>0</v>
      </c>
      <c r="AC65" s="217">
        <f t="shared" si="52"/>
        <v>0</v>
      </c>
      <c r="AD65" s="217">
        <f t="shared" si="53"/>
        <v>5041.8416666666672</v>
      </c>
      <c r="AE65" s="212">
        <f t="shared" si="20"/>
        <v>0</v>
      </c>
      <c r="AF65" s="61"/>
    </row>
    <row r="66" spans="2:59" ht="17" outlineLevel="1" thickBot="1" x14ac:dyDescent="0.25">
      <c r="C66" s="16">
        <f t="shared" si="19"/>
        <v>0</v>
      </c>
      <c r="E66" s="233">
        <v>45372</v>
      </c>
      <c r="F66" s="234" t="s">
        <v>145</v>
      </c>
      <c r="G66" s="235">
        <v>1310</v>
      </c>
      <c r="H66" s="538">
        <f t="shared" si="23"/>
        <v>99</v>
      </c>
      <c r="I66" s="236" t="s">
        <v>152</v>
      </c>
      <c r="J66" s="241" t="s">
        <v>153</v>
      </c>
      <c r="K66" s="242" t="s">
        <v>169</v>
      </c>
      <c r="L66" s="240">
        <v>87.5</v>
      </c>
      <c r="M66" s="7">
        <f t="shared" si="38"/>
        <v>0</v>
      </c>
      <c r="N66" s="7">
        <f t="shared" si="24"/>
        <v>87.5</v>
      </c>
      <c r="O66" s="217">
        <f t="shared" si="25"/>
        <v>0</v>
      </c>
      <c r="P66" s="221">
        <f t="shared" si="26"/>
        <v>87.5</v>
      </c>
      <c r="Q66" s="222">
        <f t="shared" si="27"/>
        <v>0</v>
      </c>
      <c r="R66" s="222">
        <f t="shared" si="28"/>
        <v>0</v>
      </c>
      <c r="S66" s="222">
        <f t="shared" si="29"/>
        <v>0</v>
      </c>
      <c r="T66" s="223">
        <f t="shared" si="30"/>
        <v>0</v>
      </c>
      <c r="U66" s="223">
        <f t="shared" si="31"/>
        <v>0</v>
      </c>
      <c r="V66" s="56"/>
      <c r="W66" s="217">
        <f t="shared" si="32"/>
        <v>0</v>
      </c>
      <c r="X66" s="217">
        <f t="shared" si="33"/>
        <v>0</v>
      </c>
      <c r="Y66" s="217">
        <f t="shared" si="34"/>
        <v>0</v>
      </c>
      <c r="Z66" s="217">
        <f t="shared" si="35"/>
        <v>0</v>
      </c>
      <c r="AA66" s="217">
        <f t="shared" si="36"/>
        <v>0</v>
      </c>
      <c r="AB66" s="217">
        <f t="shared" si="37"/>
        <v>0</v>
      </c>
      <c r="AC66" s="217">
        <f t="shared" si="52"/>
        <v>0</v>
      </c>
      <c r="AD66" s="217">
        <f t="shared" si="53"/>
        <v>0</v>
      </c>
      <c r="AE66" s="212">
        <f t="shared" si="20"/>
        <v>0</v>
      </c>
      <c r="AF66" s="61"/>
    </row>
    <row r="67" spans="2:59" s="488" customFormat="1" ht="17" outlineLevel="1" thickBot="1" x14ac:dyDescent="0.25">
      <c r="B67" s="16"/>
      <c r="C67" s="502">
        <f>SUM(C18:C66)</f>
        <v>6881.21</v>
      </c>
      <c r="E67" s="489"/>
      <c r="F67" s="490"/>
      <c r="G67" s="491"/>
      <c r="H67" s="539"/>
      <c r="I67" s="492"/>
      <c r="J67" s="492"/>
      <c r="K67" s="498"/>
      <c r="L67" s="493"/>
      <c r="M67" s="16"/>
      <c r="N67" s="16"/>
      <c r="O67" s="494"/>
      <c r="P67" s="499"/>
      <c r="Q67" s="500"/>
      <c r="R67" s="500"/>
      <c r="S67" s="500"/>
      <c r="T67" s="501"/>
      <c r="U67" s="501"/>
      <c r="V67" s="494"/>
      <c r="W67" s="494"/>
      <c r="X67" s="494"/>
      <c r="Y67" s="494"/>
      <c r="Z67" s="494"/>
      <c r="AA67" s="494"/>
      <c r="AB67" s="494"/>
      <c r="AC67" s="494"/>
      <c r="AD67" s="494"/>
      <c r="AE67" s="212"/>
      <c r="AF67" s="495"/>
      <c r="AG67" s="496"/>
      <c r="AH67" s="496"/>
      <c r="AI67" s="496"/>
      <c r="AJ67" s="496"/>
      <c r="AP67" s="497"/>
      <c r="AR67" s="497"/>
      <c r="BC67"/>
      <c r="BD67"/>
      <c r="BE67"/>
      <c r="BF67"/>
      <c r="BG67"/>
    </row>
    <row r="68" spans="2:59" ht="17" hidden="1" customHeight="1" outlineLevel="1" thickBot="1" x14ac:dyDescent="0.25">
      <c r="L68" s="30"/>
      <c r="M68" s="165"/>
      <c r="N68" s="9"/>
      <c r="O68" s="9"/>
      <c r="P68" s="224"/>
      <c r="Q68" s="180"/>
      <c r="R68" s="180"/>
      <c r="S68" s="180"/>
      <c r="T68" s="225"/>
      <c r="U68" s="225"/>
      <c r="V68" s="9"/>
      <c r="W68" s="9"/>
      <c r="X68" s="9"/>
      <c r="Y68" s="9"/>
      <c r="Z68" s="9"/>
      <c r="AA68" s="9"/>
      <c r="AB68" s="9"/>
      <c r="AC68" s="9"/>
      <c r="AD68" s="9">
        <f t="shared" si="53"/>
        <v>0</v>
      </c>
      <c r="AE68" s="212">
        <f t="shared" ref="AE68:AE72" si="55">SUM(O68:AC68)-N68</f>
        <v>0</v>
      </c>
      <c r="AF68" s="9"/>
    </row>
    <row r="69" spans="2:59" ht="17" hidden="1" customHeight="1" outlineLevel="1" thickBot="1" x14ac:dyDescent="0.25">
      <c r="L69" s="30"/>
      <c r="M69" s="165"/>
      <c r="N69" s="9"/>
      <c r="O69" s="9"/>
      <c r="P69" s="224"/>
      <c r="Q69" s="180"/>
      <c r="R69" s="180"/>
      <c r="S69" s="180"/>
      <c r="T69" s="225"/>
      <c r="U69" s="225"/>
      <c r="V69" s="9"/>
      <c r="W69" s="9"/>
      <c r="X69" s="9"/>
      <c r="Y69" s="9"/>
      <c r="Z69" s="9"/>
      <c r="AA69" s="9"/>
      <c r="AB69" s="9"/>
      <c r="AC69" s="9"/>
      <c r="AD69" s="9">
        <f t="shared" si="53"/>
        <v>0</v>
      </c>
      <c r="AE69" s="212">
        <f t="shared" si="55"/>
        <v>0</v>
      </c>
      <c r="AF69" s="9"/>
      <c r="BC69" s="56"/>
      <c r="BD69" s="56"/>
      <c r="BE69" s="56"/>
      <c r="BF69" s="56"/>
      <c r="BG69" s="56"/>
    </row>
    <row r="70" spans="2:59" ht="17" hidden="1" customHeight="1" outlineLevel="1" thickBot="1" x14ac:dyDescent="0.25">
      <c r="L70" s="30"/>
      <c r="M70" s="165"/>
      <c r="N70" s="9"/>
      <c r="O70" s="9"/>
      <c r="P70" s="224"/>
      <c r="Q70" s="180"/>
      <c r="R70" s="180"/>
      <c r="S70" s="180"/>
      <c r="T70" s="225"/>
      <c r="U70" s="225"/>
      <c r="V70" s="9"/>
      <c r="W70" s="9"/>
      <c r="X70" s="9"/>
      <c r="Y70" s="9"/>
      <c r="Z70" s="9"/>
      <c r="AA70" s="9"/>
      <c r="AB70" s="9"/>
      <c r="AC70" s="9"/>
      <c r="AD70" s="9">
        <f t="shared" si="53"/>
        <v>0</v>
      </c>
      <c r="AE70" s="212">
        <f t="shared" si="55"/>
        <v>0</v>
      </c>
      <c r="AF70" s="9"/>
    </row>
    <row r="71" spans="2:59" ht="17" hidden="1" customHeight="1" outlineLevel="1" thickBot="1" x14ac:dyDescent="0.25">
      <c r="L71" s="30"/>
      <c r="M71" s="165"/>
      <c r="N71" s="9"/>
      <c r="O71" s="9"/>
      <c r="P71" s="224"/>
      <c r="Q71" s="180"/>
      <c r="R71" s="180"/>
      <c r="S71" s="180"/>
      <c r="T71" s="225"/>
      <c r="U71" s="225"/>
      <c r="V71" s="9"/>
      <c r="W71" s="9"/>
      <c r="X71" s="9"/>
      <c r="Y71" s="9"/>
      <c r="Z71" s="9"/>
      <c r="AA71" s="9"/>
      <c r="AB71" s="9"/>
      <c r="AC71" s="9"/>
      <c r="AD71" s="9">
        <f t="shared" si="53"/>
        <v>0</v>
      </c>
      <c r="AE71" s="212">
        <f t="shared" si="55"/>
        <v>0</v>
      </c>
      <c r="AF71" s="9"/>
      <c r="BC71" s="1"/>
      <c r="BD71" s="1"/>
      <c r="BE71" s="1"/>
      <c r="BF71" s="1"/>
      <c r="BG71" s="1"/>
    </row>
    <row r="72" spans="2:59" ht="17" hidden="1" customHeight="1" outlineLevel="1" thickBot="1" x14ac:dyDescent="0.25">
      <c r="L72" s="30"/>
      <c r="M72" s="165"/>
      <c r="N72" s="9"/>
      <c r="O72" s="9"/>
      <c r="P72" s="224"/>
      <c r="Q72" s="180"/>
      <c r="R72" s="180"/>
      <c r="S72" s="180"/>
      <c r="T72" s="225"/>
      <c r="U72" s="225"/>
      <c r="V72" s="9"/>
      <c r="W72" s="9"/>
      <c r="X72" s="9"/>
      <c r="Y72" s="9"/>
      <c r="Z72" s="9"/>
      <c r="AA72" s="9"/>
      <c r="AB72" s="9"/>
      <c r="AC72" s="9"/>
      <c r="AD72" s="9">
        <f t="shared" si="53"/>
        <v>0</v>
      </c>
      <c r="AE72" s="212">
        <f t="shared" si="55"/>
        <v>0</v>
      </c>
      <c r="AF72" s="9"/>
    </row>
    <row r="73" spans="2:59" s="56" customFormat="1" ht="17" thickBot="1" x14ac:dyDescent="0.25">
      <c r="B73" s="16"/>
      <c r="C73" s="16"/>
      <c r="E73" s="264"/>
      <c r="F73" s="264"/>
      <c r="G73" s="164" t="s">
        <v>120</v>
      </c>
      <c r="H73" s="540"/>
      <c r="I73" s="229"/>
      <c r="J73" s="230"/>
      <c r="K73" s="231"/>
      <c r="L73" s="530">
        <f t="shared" ref="L73:U73" si="56">SUM(L18:L72)</f>
        <v>16164.399999999998</v>
      </c>
      <c r="M73" s="531">
        <f t="shared" si="56"/>
        <v>1562.8683333333333</v>
      </c>
      <c r="N73" s="531">
        <f t="shared" si="56"/>
        <v>14601.531666666668</v>
      </c>
      <c r="O73" s="531">
        <f t="shared" si="56"/>
        <v>3575</v>
      </c>
      <c r="P73" s="532">
        <f t="shared" si="56"/>
        <v>865</v>
      </c>
      <c r="Q73" s="533">
        <f t="shared" si="56"/>
        <v>68.849999999999994</v>
      </c>
      <c r="R73" s="533">
        <f t="shared" si="56"/>
        <v>890</v>
      </c>
      <c r="S73" s="533">
        <f t="shared" si="56"/>
        <v>0</v>
      </c>
      <c r="T73" s="534">
        <f t="shared" si="56"/>
        <v>92.5</v>
      </c>
      <c r="U73" s="534">
        <f t="shared" si="56"/>
        <v>0</v>
      </c>
      <c r="V73" s="531">
        <f>SUM(P73:U73)</f>
        <v>1916.35</v>
      </c>
      <c r="W73" s="531">
        <f t="shared" ref="W73:AE73" si="57">SUM(W18:W72)</f>
        <v>615</v>
      </c>
      <c r="X73" s="531">
        <f t="shared" si="57"/>
        <v>1790</v>
      </c>
      <c r="Y73" s="531">
        <f t="shared" si="57"/>
        <v>659.32</v>
      </c>
      <c r="Z73" s="531">
        <f t="shared" si="57"/>
        <v>0</v>
      </c>
      <c r="AA73" s="531">
        <f t="shared" si="57"/>
        <v>160</v>
      </c>
      <c r="AB73" s="531">
        <f t="shared" si="57"/>
        <v>75</v>
      </c>
      <c r="AC73" s="531">
        <f t="shared" si="57"/>
        <v>769.02</v>
      </c>
      <c r="AD73" s="531">
        <f t="shared" si="57"/>
        <v>5041.8416666666672</v>
      </c>
      <c r="AE73" s="232">
        <f t="shared" si="57"/>
        <v>0</v>
      </c>
      <c r="AF73" s="9"/>
      <c r="AG73" s="7"/>
      <c r="AH73" s="7"/>
      <c r="AI73" s="7"/>
      <c r="AJ73" s="7"/>
      <c r="AT73" s="529"/>
      <c r="BC73" s="5"/>
      <c r="BD73" s="5"/>
      <c r="BE73" s="5"/>
      <c r="BF73" s="5"/>
      <c r="BG73" s="5"/>
    </row>
    <row r="74" spans="2:59" ht="17" thickBot="1" x14ac:dyDescent="0.25">
      <c r="L74" s="51"/>
      <c r="P74" s="226"/>
      <c r="Q74" s="227"/>
      <c r="R74" s="227"/>
      <c r="S74" s="227"/>
      <c r="T74" s="228"/>
      <c r="U74" s="228"/>
    </row>
    <row r="75" spans="2:59" s="1" customFormat="1" ht="29" customHeight="1" thickTop="1" x14ac:dyDescent="0.2">
      <c r="B75" s="18"/>
      <c r="C75" s="18"/>
      <c r="H75" s="287"/>
      <c r="M75" s="51"/>
      <c r="N75" s="2"/>
      <c r="O75" s="7"/>
      <c r="AE75" s="213"/>
      <c r="AG75" s="37"/>
      <c r="AH75" s="37"/>
      <c r="AI75" s="37"/>
      <c r="AJ75" s="37"/>
      <c r="AP75" s="136"/>
      <c r="AR75" s="136"/>
      <c r="BC75"/>
      <c r="BD75"/>
      <c r="BE75"/>
      <c r="BF75"/>
      <c r="BG75"/>
    </row>
    <row r="77" spans="2:59" s="5" customFormat="1" x14ac:dyDescent="0.2">
      <c r="B77" s="19"/>
      <c r="C77" s="19"/>
      <c r="H77" s="287"/>
      <c r="M77" s="51"/>
      <c r="N77" s="2"/>
      <c r="O77" s="7"/>
      <c r="AE77" s="215"/>
      <c r="AG77" s="38"/>
      <c r="AH77" s="38"/>
      <c r="AI77" s="38"/>
      <c r="AJ77" s="38"/>
      <c r="AP77" s="138"/>
      <c r="AR77" s="138"/>
      <c r="BC77"/>
      <c r="BD77"/>
      <c r="BE77"/>
      <c r="BF77"/>
      <c r="BG77"/>
    </row>
    <row r="79" spans="2:59" x14ac:dyDescent="0.2">
      <c r="M79" s="165"/>
      <c r="N79" s="9"/>
    </row>
    <row r="80" spans="2:59" ht="16" customHeight="1" x14ac:dyDescent="0.2">
      <c r="M80" s="168"/>
      <c r="N80" s="11"/>
      <c r="O80" s="11"/>
    </row>
    <row r="81" spans="2:60" ht="16" customHeight="1" x14ac:dyDescent="0.2">
      <c r="N81" s="11"/>
      <c r="O81" s="11"/>
      <c r="BC81" s="5"/>
      <c r="BD81" s="5"/>
      <c r="BE81" s="5"/>
      <c r="BF81" s="5"/>
      <c r="BG81" s="5"/>
    </row>
    <row r="82" spans="2:60" x14ac:dyDescent="0.2">
      <c r="N82" s="28"/>
    </row>
    <row r="83" spans="2:60" x14ac:dyDescent="0.2">
      <c r="N83" s="28"/>
    </row>
    <row r="84" spans="2:60" x14ac:dyDescent="0.2">
      <c r="N84" s="28"/>
      <c r="BC84" s="5"/>
      <c r="BD84" s="5"/>
      <c r="BE84" s="5"/>
      <c r="BF84" s="5"/>
      <c r="BG84" s="5"/>
    </row>
    <row r="85" spans="2:60" s="5" customFormat="1" x14ac:dyDescent="0.2">
      <c r="B85" s="20">
        <f>SUM(B5:B82)</f>
        <v>0</v>
      </c>
      <c r="C85" s="20">
        <f>SUM(C5:C82)</f>
        <v>13762.42</v>
      </c>
      <c r="H85" s="287"/>
      <c r="M85" s="51"/>
      <c r="N85" s="28"/>
      <c r="O85" s="7"/>
      <c r="AE85" s="215"/>
      <c r="AG85" s="38"/>
      <c r="AH85" s="38"/>
      <c r="AI85" s="38"/>
      <c r="AJ85" s="38"/>
      <c r="AP85" s="138"/>
      <c r="AR85" s="138"/>
      <c r="BC85"/>
      <c r="BD85"/>
      <c r="BE85"/>
      <c r="BF85"/>
      <c r="BG85"/>
    </row>
    <row r="86" spans="2:60" x14ac:dyDescent="0.2">
      <c r="N86" s="28"/>
    </row>
    <row r="87" spans="2:60" ht="14" customHeight="1" x14ac:dyDescent="0.2"/>
    <row r="88" spans="2:60" s="5" customFormat="1" ht="14" customHeight="1" thickBot="1" x14ac:dyDescent="0.25">
      <c r="B88" s="19"/>
      <c r="C88" s="19"/>
      <c r="G88" s="187"/>
      <c r="H88" s="541"/>
      <c r="I88" s="205"/>
      <c r="J88" s="45"/>
      <c r="K88" s="184"/>
      <c r="L88" s="29"/>
      <c r="M88" s="168"/>
      <c r="N88" s="10"/>
      <c r="O88" s="11"/>
      <c r="Y88" s="49"/>
      <c r="Z88"/>
      <c r="AE88" s="215"/>
      <c r="AP88" s="181"/>
      <c r="AQ88" s="30"/>
      <c r="AR88" s="181"/>
      <c r="AU88"/>
      <c r="AW88"/>
      <c r="BC88"/>
      <c r="BD88"/>
      <c r="BE88"/>
      <c r="BF88"/>
      <c r="BG88"/>
    </row>
    <row r="89" spans="2:60" ht="106" customHeight="1" x14ac:dyDescent="0.2">
      <c r="E89" s="6"/>
      <c r="L89" s="34"/>
      <c r="N89" s="7"/>
      <c r="Y89" s="49"/>
      <c r="AN89" s="13" t="s">
        <v>13</v>
      </c>
      <c r="AO89" s="13"/>
      <c r="AP89" s="550" t="s">
        <v>290</v>
      </c>
      <c r="AQ89" s="550"/>
      <c r="AR89" s="550"/>
      <c r="AS89" s="550"/>
      <c r="AT89" s="487"/>
      <c r="AU89" s="250" t="s">
        <v>157</v>
      </c>
      <c r="AW89" s="257" t="s">
        <v>172</v>
      </c>
    </row>
    <row r="90" spans="2:60" ht="75" customHeight="1" thickBot="1" x14ac:dyDescent="0.25">
      <c r="E90" s="6"/>
      <c r="N90" s="7"/>
      <c r="Y90" s="49"/>
      <c r="AN90" s="13" t="s">
        <v>19</v>
      </c>
      <c r="AO90" s="13"/>
      <c r="AP90" s="175" t="s">
        <v>182</v>
      </c>
      <c r="AQ90" s="268" t="s">
        <v>167</v>
      </c>
      <c r="AR90" s="268" t="s">
        <v>286</v>
      </c>
      <c r="AS90" s="268" t="s">
        <v>183</v>
      </c>
      <c r="AT90" s="268"/>
      <c r="AU90" s="251"/>
      <c r="AW90" s="258"/>
    </row>
    <row r="91" spans="2:60" ht="33" customHeight="1" x14ac:dyDescent="0.2">
      <c r="E91" s="6"/>
      <c r="L91" s="51"/>
      <c r="N91" s="7"/>
      <c r="Y91" s="50"/>
      <c r="Z91" s="1"/>
      <c r="AN91" s="1" t="s">
        <v>140</v>
      </c>
      <c r="AO91" s="1"/>
      <c r="AP91" s="74">
        <v>16035</v>
      </c>
      <c r="AQ91" s="74"/>
      <c r="AR91" s="74"/>
      <c r="AS91" s="75">
        <f>AP91</f>
        <v>16035</v>
      </c>
      <c r="AT91" s="75"/>
      <c r="AU91" s="251"/>
      <c r="AW91" s="258"/>
      <c r="AZ91" s="479"/>
    </row>
    <row r="92" spans="2:60" ht="35" thickBot="1" x14ac:dyDescent="0.25">
      <c r="E92" s="6"/>
      <c r="L92" s="51"/>
      <c r="N92" s="7"/>
      <c r="Y92" s="50"/>
      <c r="Z92" s="1"/>
      <c r="AN92" s="1" t="s">
        <v>139</v>
      </c>
      <c r="AO92" s="1"/>
      <c r="AP92" s="200"/>
      <c r="AQ92" s="200"/>
      <c r="AR92" s="200"/>
      <c r="AS92" s="201"/>
      <c r="AT92" s="75"/>
      <c r="AU92" s="252">
        <v>14625</v>
      </c>
      <c r="AW92" s="259">
        <f>AP91</f>
        <v>16035</v>
      </c>
      <c r="AZ92" s="485" t="s">
        <v>186</v>
      </c>
      <c r="BB92" t="s">
        <v>187</v>
      </c>
    </row>
    <row r="93" spans="2:60" x14ac:dyDescent="0.2">
      <c r="E93" s="6"/>
      <c r="L93" s="51"/>
      <c r="N93" s="7"/>
      <c r="Y93" s="50"/>
      <c r="Z93" s="1"/>
      <c r="AN93" s="1"/>
      <c r="AO93" s="1"/>
      <c r="AP93" s="74"/>
      <c r="AQ93" s="74"/>
      <c r="AR93" s="74"/>
      <c r="AS93" s="75"/>
      <c r="AT93" s="75"/>
      <c r="AU93" s="253"/>
      <c r="AW93" s="260"/>
      <c r="AZ93" s="480"/>
      <c r="BD93" s="76"/>
      <c r="BE93" s="478" t="s">
        <v>275</v>
      </c>
      <c r="BF93" s="76"/>
      <c r="BG93" s="76"/>
      <c r="BH93" s="76"/>
    </row>
    <row r="94" spans="2:60" x14ac:dyDescent="0.2">
      <c r="E94" s="6"/>
      <c r="L94" s="51"/>
      <c r="N94" s="7"/>
      <c r="Y94" s="49"/>
      <c r="AN94" t="s">
        <v>0</v>
      </c>
      <c r="AP94" s="120">
        <v>12000</v>
      </c>
      <c r="AQ94" s="120">
        <f>AS94-AP94</f>
        <v>0</v>
      </c>
      <c r="AR94" s="120"/>
      <c r="AS94" s="176">
        <f>BH15</f>
        <v>12000</v>
      </c>
      <c r="AT94" s="176"/>
      <c r="AU94" s="253">
        <v>12000</v>
      </c>
      <c r="AW94" s="260">
        <v>12000</v>
      </c>
      <c r="AZ94" s="481">
        <f>AS94-AW94</f>
        <v>0</v>
      </c>
      <c r="BB94" s="119">
        <f>AS94-AU94</f>
        <v>0</v>
      </c>
    </row>
    <row r="95" spans="2:60" x14ac:dyDescent="0.2">
      <c r="E95" s="6"/>
      <c r="L95" s="51"/>
      <c r="N95" s="7"/>
      <c r="Y95" s="49"/>
      <c r="AN95" t="s">
        <v>137</v>
      </c>
      <c r="AP95" s="120">
        <v>376.5</v>
      </c>
      <c r="AQ95" s="120"/>
      <c r="AR95" s="120">
        <f>AQ108</f>
        <v>1186.3683333333333</v>
      </c>
      <c r="AS95" s="176">
        <f>SUM(AP95:AR95)</f>
        <v>1562.8683333333333</v>
      </c>
      <c r="AT95" s="176"/>
      <c r="AU95" s="253">
        <v>0</v>
      </c>
      <c r="AW95" s="260">
        <v>561</v>
      </c>
      <c r="AZ95" s="481">
        <f>AS95-AW95</f>
        <v>1001.8683333333333</v>
      </c>
      <c r="BB95" s="119">
        <f>AS95-AU95</f>
        <v>1562.8683333333333</v>
      </c>
      <c r="BE95" t="s">
        <v>273</v>
      </c>
      <c r="BF95" s="265"/>
      <c r="BG95" s="265">
        <f>-65+1110+58+500</f>
        <v>1603</v>
      </c>
    </row>
    <row r="96" spans="2:60" x14ac:dyDescent="0.2">
      <c r="E96" s="6"/>
      <c r="L96" s="51"/>
      <c r="N96" s="7"/>
      <c r="Y96" s="49"/>
      <c r="AN96" t="s">
        <v>164</v>
      </c>
      <c r="AP96" s="120">
        <v>0</v>
      </c>
      <c r="AQ96" s="120">
        <f>AS96-AP96</f>
        <v>1590</v>
      </c>
      <c r="AR96" s="120"/>
      <c r="AS96" s="176">
        <f>BI15</f>
        <v>1590</v>
      </c>
      <c r="AT96" s="176"/>
      <c r="AU96" s="253"/>
      <c r="AW96" s="260">
        <v>1325</v>
      </c>
      <c r="AZ96" s="481">
        <f>AS96-AW96</f>
        <v>265</v>
      </c>
      <c r="BB96" s="119">
        <f>AS96-AU96</f>
        <v>1590</v>
      </c>
      <c r="BC96" s="119">
        <f>BB96</f>
        <v>1590</v>
      </c>
      <c r="BE96" t="s">
        <v>271</v>
      </c>
      <c r="BF96" s="265"/>
      <c r="BG96" s="265">
        <v>700</v>
      </c>
    </row>
    <row r="97" spans="2:60" s="76" customFormat="1" ht="23" customHeight="1" x14ac:dyDescent="0.2">
      <c r="B97" s="77"/>
      <c r="C97" s="77"/>
      <c r="E97" s="78"/>
      <c r="G97" s="188"/>
      <c r="H97" s="537"/>
      <c r="I97" s="206"/>
      <c r="J97" s="45"/>
      <c r="K97" s="184"/>
      <c r="L97" s="80"/>
      <c r="M97" s="80"/>
      <c r="N97" s="81"/>
      <c r="O97" s="81"/>
      <c r="Y97" s="50"/>
      <c r="Z97" s="1"/>
      <c r="AE97" s="216"/>
      <c r="AG97" s="82"/>
      <c r="AH97" s="82"/>
      <c r="AI97" s="82"/>
      <c r="AJ97" s="82"/>
      <c r="AN97" s="1" t="s">
        <v>1</v>
      </c>
      <c r="AO97" s="1"/>
      <c r="AP97" s="43">
        <f>SUM(AP94:AP96)</f>
        <v>12376.5</v>
      </c>
      <c r="AQ97" s="43">
        <f>SUM(AQ94:AQ96)</f>
        <v>1590</v>
      </c>
      <c r="AR97" s="43">
        <f>SUM(AR94:AR96)</f>
        <v>1186.3683333333333</v>
      </c>
      <c r="AS97" s="85">
        <f>SUM(AS94:AS96)</f>
        <v>15152.868333333334</v>
      </c>
      <c r="AT97" s="75"/>
      <c r="AU97" s="254">
        <f>SUM(AU94:AU96)</f>
        <v>12000</v>
      </c>
      <c r="AW97" s="261">
        <f>SUM(AW94:AW96)</f>
        <v>13886</v>
      </c>
      <c r="AZ97" s="482"/>
      <c r="BD97"/>
      <c r="BE97" t="s">
        <v>274</v>
      </c>
      <c r="BF97"/>
      <c r="BG97" s="265">
        <v>181</v>
      </c>
      <c r="BH97"/>
    </row>
    <row r="98" spans="2:60" x14ac:dyDescent="0.2">
      <c r="E98" s="6"/>
      <c r="L98" s="51"/>
      <c r="N98" s="7"/>
      <c r="Y98" s="49"/>
      <c r="AN98" t="s">
        <v>6</v>
      </c>
      <c r="AP98" s="140">
        <v>2475</v>
      </c>
      <c r="AQ98" s="120">
        <f t="shared" ref="AQ98:AQ106" si="58">AS98-AP98</f>
        <v>1100</v>
      </c>
      <c r="AR98" s="120"/>
      <c r="AS98" s="176">
        <f>O73</f>
        <v>3575</v>
      </c>
      <c r="AT98" s="176"/>
      <c r="AU98" s="253">
        <v>3480</v>
      </c>
      <c r="AW98" s="260">
        <f>AU98</f>
        <v>3480</v>
      </c>
      <c r="AZ98" s="481">
        <f t="shared" ref="AZ98:AZ106" si="59">AW98-AS98</f>
        <v>-95</v>
      </c>
      <c r="BB98" s="119">
        <f t="shared" ref="BB98:BB106" si="60">AU98-AS98</f>
        <v>-95</v>
      </c>
      <c r="BE98" t="str">
        <f>AN103</f>
        <v>Councillor training</v>
      </c>
      <c r="BF98" s="265"/>
      <c r="BG98" s="265">
        <f>BC103</f>
        <v>2000</v>
      </c>
    </row>
    <row r="99" spans="2:60" x14ac:dyDescent="0.2">
      <c r="E99" s="6"/>
      <c r="L99" s="51"/>
      <c r="N99" s="7"/>
      <c r="Y99" s="49"/>
      <c r="AN99" t="s">
        <v>43</v>
      </c>
      <c r="AP99" s="120">
        <v>2623.85</v>
      </c>
      <c r="AQ99" s="120">
        <f t="shared" si="58"/>
        <v>-707.5</v>
      </c>
      <c r="AR99" s="120"/>
      <c r="AS99" s="176">
        <f>V73</f>
        <v>1916.35</v>
      </c>
      <c r="AT99" s="176"/>
      <c r="AU99" s="253">
        <v>4900</v>
      </c>
      <c r="AW99" s="260">
        <v>4250</v>
      </c>
      <c r="AZ99" s="481">
        <f t="shared" si="59"/>
        <v>2333.65</v>
      </c>
      <c r="BB99" s="119">
        <f t="shared" si="60"/>
        <v>2983.65</v>
      </c>
      <c r="BC99" s="119">
        <f>BB99</f>
        <v>2983.65</v>
      </c>
      <c r="BE99" s="182" t="str">
        <f>AN105</f>
        <v>May 23 local election costs</v>
      </c>
      <c r="BF99" s="265"/>
      <c r="BG99" s="265">
        <f>BC105</f>
        <v>925</v>
      </c>
    </row>
    <row r="100" spans="2:60" x14ac:dyDescent="0.2">
      <c r="E100" s="6"/>
      <c r="L100" s="51"/>
      <c r="N100" s="7"/>
      <c r="Y100" s="49"/>
      <c r="AN100" t="s">
        <v>46</v>
      </c>
      <c r="AP100" s="120">
        <v>480</v>
      </c>
      <c r="AQ100" s="120">
        <f t="shared" si="58"/>
        <v>135</v>
      </c>
      <c r="AR100" s="120"/>
      <c r="AS100" s="176">
        <f>W73</f>
        <v>615</v>
      </c>
      <c r="AT100" s="176"/>
      <c r="AU100" s="253">
        <v>900</v>
      </c>
      <c r="AW100" s="260">
        <v>750</v>
      </c>
      <c r="AZ100" s="481">
        <f t="shared" si="59"/>
        <v>135</v>
      </c>
      <c r="BB100" s="119">
        <f t="shared" si="60"/>
        <v>285</v>
      </c>
      <c r="BE100" t="s">
        <v>270</v>
      </c>
      <c r="BF100" s="265"/>
      <c r="BG100" s="265">
        <f>-95+285+91-57+19+69-10+1000</f>
        <v>1302</v>
      </c>
    </row>
    <row r="101" spans="2:60" x14ac:dyDescent="0.2">
      <c r="E101" s="6"/>
      <c r="L101" s="51"/>
      <c r="N101" s="7"/>
      <c r="Y101" s="49"/>
      <c r="AN101" t="s">
        <v>56</v>
      </c>
      <c r="AP101" s="120">
        <v>0</v>
      </c>
      <c r="AQ101" s="120">
        <f t="shared" si="58"/>
        <v>1790</v>
      </c>
      <c r="AR101" s="120"/>
      <c r="AS101" s="176">
        <f>X73</f>
        <v>1790</v>
      </c>
      <c r="AT101" s="176"/>
      <c r="AU101" s="253">
        <v>0</v>
      </c>
      <c r="AW101" s="260">
        <f>AU101</f>
        <v>0</v>
      </c>
      <c r="AZ101" s="481">
        <f t="shared" si="59"/>
        <v>-1790</v>
      </c>
      <c r="BB101" s="119">
        <f t="shared" si="60"/>
        <v>-1790</v>
      </c>
      <c r="BC101" s="119">
        <f>BB101</f>
        <v>-1790</v>
      </c>
      <c r="BF101" s="265"/>
      <c r="BG101" s="476">
        <f>SUM(BG95:BG100)</f>
        <v>6711</v>
      </c>
    </row>
    <row r="102" spans="2:60" x14ac:dyDescent="0.2">
      <c r="E102" s="6"/>
      <c r="L102" s="51"/>
      <c r="N102" s="7"/>
      <c r="Y102" s="49"/>
      <c r="AN102" t="s">
        <v>4</v>
      </c>
      <c r="AP102" s="120">
        <v>659.32</v>
      </c>
      <c r="AQ102" s="120">
        <f t="shared" si="58"/>
        <v>0</v>
      </c>
      <c r="AR102" s="120"/>
      <c r="AS102" s="176">
        <f>Y73</f>
        <v>659.32</v>
      </c>
      <c r="AT102" s="176"/>
      <c r="AU102" s="253">
        <v>750</v>
      </c>
      <c r="AW102" s="260">
        <v>659</v>
      </c>
      <c r="AZ102" s="481">
        <f t="shared" si="59"/>
        <v>-0.32000000000005002</v>
      </c>
      <c r="BB102" s="119">
        <f t="shared" si="60"/>
        <v>90.67999999999995</v>
      </c>
      <c r="BE102" t="str">
        <f>AN96</f>
        <v>Grant for CCTV</v>
      </c>
      <c r="BF102" s="265">
        <f>BC96</f>
        <v>1590</v>
      </c>
      <c r="BG102" s="265"/>
    </row>
    <row r="103" spans="2:60" x14ac:dyDescent="0.2">
      <c r="E103" s="6"/>
      <c r="L103" s="51"/>
      <c r="N103" s="7"/>
      <c r="Y103" s="49"/>
      <c r="AN103" t="s">
        <v>44</v>
      </c>
      <c r="AP103" s="177">
        <v>0</v>
      </c>
      <c r="AQ103" s="120">
        <f t="shared" si="58"/>
        <v>0</v>
      </c>
      <c r="AR103" s="120"/>
      <c r="AS103" s="176">
        <f>Z73</f>
        <v>0</v>
      </c>
      <c r="AT103" s="176"/>
      <c r="AU103" s="253">
        <v>2000</v>
      </c>
      <c r="AW103" s="260">
        <v>0</v>
      </c>
      <c r="AZ103" s="481">
        <f t="shared" si="59"/>
        <v>0</v>
      </c>
      <c r="BB103" s="119">
        <f t="shared" si="60"/>
        <v>2000</v>
      </c>
      <c r="BC103" s="119">
        <f>BB103</f>
        <v>2000</v>
      </c>
      <c r="BE103" t="s">
        <v>272</v>
      </c>
      <c r="BF103" s="475">
        <f>BC101+500</f>
        <v>-1290</v>
      </c>
    </row>
    <row r="104" spans="2:60" x14ac:dyDescent="0.2">
      <c r="E104" s="6"/>
      <c r="L104" s="51"/>
      <c r="N104" s="7"/>
      <c r="Y104" s="49"/>
      <c r="AN104" t="s">
        <v>69</v>
      </c>
      <c r="AP104" s="177">
        <v>160</v>
      </c>
      <c r="AQ104" s="120">
        <f t="shared" si="58"/>
        <v>0</v>
      </c>
      <c r="AR104" s="120"/>
      <c r="AS104" s="176">
        <f>AA73</f>
        <v>160</v>
      </c>
      <c r="AT104" s="176"/>
      <c r="AU104" s="253">
        <v>150</v>
      </c>
      <c r="AW104" s="260">
        <v>160</v>
      </c>
      <c r="AZ104" s="481">
        <f t="shared" si="59"/>
        <v>0</v>
      </c>
      <c r="BB104" s="119">
        <f t="shared" si="60"/>
        <v>-10</v>
      </c>
      <c r="BF104" s="265"/>
      <c r="BG104" s="265">
        <f>SUM(BF102:BF103)</f>
        <v>300</v>
      </c>
    </row>
    <row r="105" spans="2:60" ht="17" thickBot="1" x14ac:dyDescent="0.25">
      <c r="E105" s="6"/>
      <c r="L105" s="51"/>
      <c r="N105" s="7"/>
      <c r="Y105" s="49"/>
      <c r="AN105" s="182" t="s">
        <v>136</v>
      </c>
      <c r="AO105" s="182"/>
      <c r="AP105" s="177">
        <v>75</v>
      </c>
      <c r="AQ105" s="120">
        <f t="shared" si="58"/>
        <v>0</v>
      </c>
      <c r="AR105" s="120"/>
      <c r="AS105" s="176">
        <f>AB73</f>
        <v>75</v>
      </c>
      <c r="AT105" s="176"/>
      <c r="AU105" s="253">
        <v>1000</v>
      </c>
      <c r="AW105" s="260">
        <v>75</v>
      </c>
      <c r="AZ105" s="481">
        <f t="shared" si="59"/>
        <v>0</v>
      </c>
      <c r="BB105" s="119">
        <f t="shared" si="60"/>
        <v>925</v>
      </c>
      <c r="BC105" s="119">
        <f>BB105</f>
        <v>925</v>
      </c>
      <c r="BD105" s="76"/>
      <c r="BE105" s="1" t="s">
        <v>276</v>
      </c>
      <c r="BF105" s="1"/>
      <c r="BG105" s="477">
        <f>SUM(BG101:BG104)</f>
        <v>7011</v>
      </c>
      <c r="BH105" s="76"/>
    </row>
    <row r="106" spans="2:60" x14ac:dyDescent="0.2">
      <c r="E106" s="6"/>
      <c r="L106" s="34"/>
      <c r="N106" s="7"/>
      <c r="Y106" s="49"/>
      <c r="AN106" t="s">
        <v>47</v>
      </c>
      <c r="AP106" s="177">
        <v>726.22</v>
      </c>
      <c r="AQ106" s="120">
        <f t="shared" si="58"/>
        <v>42.799999999999955</v>
      </c>
      <c r="AR106" s="120"/>
      <c r="AS106" s="176">
        <f>AC73</f>
        <v>769.02</v>
      </c>
      <c r="AT106" s="176"/>
      <c r="AU106" s="253">
        <v>795</v>
      </c>
      <c r="AW106" s="260">
        <v>1000</v>
      </c>
      <c r="AZ106" s="481">
        <f t="shared" si="59"/>
        <v>230.98000000000002</v>
      </c>
      <c r="BB106" s="119">
        <f t="shared" si="60"/>
        <v>25.980000000000018</v>
      </c>
      <c r="BD106" s="76"/>
      <c r="BE106" s="76"/>
      <c r="BF106" s="76"/>
      <c r="BG106" s="76"/>
      <c r="BH106" s="76"/>
    </row>
    <row r="107" spans="2:60" ht="16" customHeight="1" x14ac:dyDescent="0.2">
      <c r="E107" s="6"/>
      <c r="L107" s="51"/>
      <c r="N107" s="7"/>
      <c r="O107" s="48"/>
      <c r="Y107" s="49"/>
      <c r="AN107" t="s">
        <v>179</v>
      </c>
      <c r="AP107" s="119">
        <v>0</v>
      </c>
      <c r="AQ107" s="120">
        <f>AD73</f>
        <v>5041.8416666666672</v>
      </c>
      <c r="AR107" s="120">
        <f>-AQ107</f>
        <v>-5041.8416666666672</v>
      </c>
      <c r="AS107" s="176">
        <f>SUM(AP107:AR107)</f>
        <v>0</v>
      </c>
      <c r="AT107" s="176"/>
      <c r="AU107" s="253">
        <v>1000</v>
      </c>
      <c r="AW107" s="260">
        <v>0</v>
      </c>
      <c r="AZ107" s="481" t="e">
        <f>AW107-#REF!</f>
        <v>#REF!</v>
      </c>
      <c r="BB107" s="119" t="e">
        <f>AU107-#REF!</f>
        <v>#REF!</v>
      </c>
      <c r="BC107" s="119" t="e">
        <f>BB107</f>
        <v>#REF!</v>
      </c>
    </row>
    <row r="108" spans="2:60" ht="17" thickBot="1" x14ac:dyDescent="0.25">
      <c r="E108" s="6"/>
      <c r="L108" s="51"/>
      <c r="N108" s="7"/>
      <c r="O108" s="48"/>
      <c r="Y108" s="49"/>
      <c r="AN108" t="s">
        <v>50</v>
      </c>
      <c r="AP108" s="120">
        <v>376.5</v>
      </c>
      <c r="AQ108" s="120">
        <f>AS108-AP108</f>
        <v>1186.3683333333333</v>
      </c>
      <c r="AR108" s="120"/>
      <c r="AS108" s="176">
        <f>M73</f>
        <v>1562.8683333333333</v>
      </c>
      <c r="AT108" s="176"/>
      <c r="AU108" s="253">
        <v>0</v>
      </c>
      <c r="AW108" s="260">
        <v>561</v>
      </c>
      <c r="AZ108" s="481">
        <f>AW108-AS108</f>
        <v>-1001.8683333333333</v>
      </c>
      <c r="BB108" s="119">
        <f>AU108-AS108</f>
        <v>-1562.8683333333333</v>
      </c>
    </row>
    <row r="109" spans="2:60" s="76" customFormat="1" ht="24" customHeight="1" thickBot="1" x14ac:dyDescent="0.25">
      <c r="B109" s="77"/>
      <c r="C109" s="77"/>
      <c r="E109" s="78"/>
      <c r="G109" s="188"/>
      <c r="H109" s="537"/>
      <c r="I109" s="206"/>
      <c r="J109" s="45"/>
      <c r="K109" s="184"/>
      <c r="L109" s="80"/>
      <c r="M109" s="80"/>
      <c r="N109" s="81"/>
      <c r="O109" s="84"/>
      <c r="Y109" s="50"/>
      <c r="Z109" s="1"/>
      <c r="AE109" s="216"/>
      <c r="AG109" s="82"/>
      <c r="AH109" s="82"/>
      <c r="AI109" s="82"/>
      <c r="AJ109" s="82"/>
      <c r="AN109" s="1" t="s">
        <v>188</v>
      </c>
      <c r="AO109" s="1"/>
      <c r="AP109" s="43">
        <f>SUM(AP98:AP108)</f>
        <v>7575.89</v>
      </c>
      <c r="AQ109" s="43">
        <f>SUM(AQ98:AQ108)</f>
        <v>8588.51</v>
      </c>
      <c r="AR109" s="43">
        <f>SUM(AR98:AR108)</f>
        <v>-5041.8416666666672</v>
      </c>
      <c r="AS109" s="85">
        <f>SUM(AS98:AS108)</f>
        <v>11122.558333333334</v>
      </c>
      <c r="AT109" s="75"/>
      <c r="AU109" s="254">
        <f>SUM(AU98:AU108)</f>
        <v>14975</v>
      </c>
      <c r="AW109" s="261">
        <f>SUM(AW98:AW108)</f>
        <v>10935</v>
      </c>
      <c r="AZ109" s="483" t="e">
        <f>SUM(AZ95:AZ108)</f>
        <v>#REF!</v>
      </c>
      <c r="BA109" s="269" t="e">
        <f>AS110-AW110-AZ109</f>
        <v>#REF!</v>
      </c>
      <c r="BB109" s="270" t="e">
        <f>SUM(BB95:BB108)</f>
        <v>#REF!</v>
      </c>
      <c r="BC109" s="270" t="e">
        <f>SUM(BC95:BC108)</f>
        <v>#REF!</v>
      </c>
      <c r="BD109"/>
      <c r="BE109"/>
      <c r="BF109"/>
      <c r="BG109"/>
      <c r="BH109"/>
    </row>
    <row r="110" spans="2:60" s="76" customFormat="1" ht="23" customHeight="1" thickBot="1" x14ac:dyDescent="0.25">
      <c r="B110" s="77"/>
      <c r="C110" s="77"/>
      <c r="E110" s="78"/>
      <c r="G110" s="188"/>
      <c r="H110" s="537"/>
      <c r="I110" s="206"/>
      <c r="J110" s="45"/>
      <c r="K110" s="184"/>
      <c r="L110" s="80"/>
      <c r="M110" s="80"/>
      <c r="N110" s="81"/>
      <c r="O110" s="84"/>
      <c r="Y110" s="50"/>
      <c r="Z110" s="1"/>
      <c r="AE110" s="216"/>
      <c r="AG110" s="82"/>
      <c r="AH110" s="82"/>
      <c r="AI110" s="82"/>
      <c r="AJ110" s="82"/>
      <c r="AN110" s="1" t="s">
        <v>2</v>
      </c>
      <c r="AO110" s="1"/>
      <c r="AP110" s="74">
        <f>AP97-AP109</f>
        <v>4800.6099999999997</v>
      </c>
      <c r="AQ110" s="74">
        <f>AQ97-AQ109</f>
        <v>-6998.51</v>
      </c>
      <c r="AR110" s="74"/>
      <c r="AS110" s="75">
        <f>AS97-AS109</f>
        <v>4030.3099999999995</v>
      </c>
      <c r="AT110" s="75"/>
      <c r="AU110" s="254">
        <f>AU97-AU109</f>
        <v>-2975</v>
      </c>
      <c r="AW110" s="261">
        <f>AW97-AW109</f>
        <v>2951</v>
      </c>
      <c r="AZ110" s="484"/>
      <c r="BD110"/>
      <c r="BE110"/>
      <c r="BF110"/>
      <c r="BG110"/>
      <c r="BH110"/>
    </row>
    <row r="111" spans="2:60" ht="28" customHeight="1" thickBot="1" x14ac:dyDescent="0.25">
      <c r="E111" s="6"/>
      <c r="L111" s="51"/>
      <c r="N111" s="7"/>
      <c r="Y111" s="50"/>
      <c r="Z111" s="1"/>
      <c r="AN111" s="1" t="s">
        <v>168</v>
      </c>
      <c r="AO111" s="1"/>
      <c r="AP111" s="189">
        <f>AP91+AP110</f>
        <v>20835.61</v>
      </c>
      <c r="AQ111" s="47"/>
      <c r="AR111" s="47"/>
      <c r="AS111" s="4">
        <f>AS91+AS110</f>
        <v>20065.309999999998</v>
      </c>
      <c r="AT111" s="75"/>
      <c r="AU111" s="255">
        <f>AU92+AU110</f>
        <v>11650</v>
      </c>
      <c r="AW111" s="262">
        <f>AW92+AW110</f>
        <v>18986</v>
      </c>
    </row>
    <row r="112" spans="2:60" ht="17" thickBot="1" x14ac:dyDescent="0.25">
      <c r="E112" s="6"/>
      <c r="L112" s="51"/>
      <c r="N112" s="7"/>
      <c r="Y112" s="50"/>
      <c r="Z112" s="1"/>
      <c r="AN112" s="117"/>
      <c r="AO112" s="117"/>
      <c r="AP112" s="178"/>
      <c r="AQ112" s="46"/>
      <c r="AR112" s="46"/>
      <c r="AS112" s="179">
        <f>AS111-AR132</f>
        <v>0.13999999999941792</v>
      </c>
      <c r="AT112" s="179"/>
      <c r="AU112" s="256"/>
      <c r="AW112" s="263"/>
    </row>
    <row r="113" spans="5:48" ht="19" x14ac:dyDescent="0.25">
      <c r="E113" s="6"/>
      <c r="L113" s="51"/>
      <c r="N113" s="7"/>
      <c r="Y113" s="50"/>
      <c r="Z113" s="1"/>
      <c r="AN113" s="267" t="s">
        <v>185</v>
      </c>
      <c r="AO113" s="190" t="str">
        <f>P17</f>
        <v>Play area Gardening &amp; Safety Checks</v>
      </c>
      <c r="AP113" s="190"/>
      <c r="AQ113" s="191"/>
      <c r="AR113" s="192">
        <f>P73</f>
        <v>865</v>
      </c>
    </row>
    <row r="114" spans="5:48" x14ac:dyDescent="0.2">
      <c r="E114" s="6"/>
      <c r="L114" s="51"/>
      <c r="N114" s="7"/>
      <c r="Y114" s="50"/>
      <c r="Z114" s="1"/>
      <c r="AN114" s="208"/>
      <c r="AO114" s="209" t="s">
        <v>171</v>
      </c>
      <c r="AP114" s="209"/>
      <c r="AQ114" s="210"/>
      <c r="AR114" s="211">
        <f>R73+S73</f>
        <v>890</v>
      </c>
    </row>
    <row r="115" spans="5:48" x14ac:dyDescent="0.2">
      <c r="E115" s="6"/>
      <c r="L115" s="51"/>
      <c r="N115" s="7"/>
      <c r="Y115" s="50"/>
      <c r="Z115" s="1"/>
      <c r="AN115" s="208"/>
      <c r="AO115" s="209" t="str">
        <f>Q17</f>
        <v>Twinning Garden costs</v>
      </c>
      <c r="AP115" s="209"/>
      <c r="AQ115" s="210"/>
      <c r="AR115" s="211">
        <f>Q73</f>
        <v>68.849999999999994</v>
      </c>
    </row>
    <row r="116" spans="5:48" ht="16" customHeight="1" x14ac:dyDescent="0.2">
      <c r="E116" s="6"/>
      <c r="I116" s="207"/>
      <c r="L116" s="51"/>
      <c r="N116" s="7"/>
      <c r="AN116" s="193"/>
      <c r="AO116" s="194" t="str">
        <f>T17</f>
        <v>RoSPA</v>
      </c>
      <c r="AP116" s="194"/>
      <c r="AQ116" s="195"/>
      <c r="AR116" s="196">
        <f>T73</f>
        <v>92.5</v>
      </c>
    </row>
    <row r="117" spans="5:48" x14ac:dyDescent="0.2">
      <c r="E117" s="6"/>
      <c r="L117" s="51"/>
      <c r="N117" s="7"/>
      <c r="AN117" s="193"/>
      <c r="AO117" s="194" t="s">
        <v>156</v>
      </c>
      <c r="AP117" s="194"/>
      <c r="AQ117" s="195"/>
      <c r="AR117" s="196">
        <f>U73</f>
        <v>0</v>
      </c>
    </row>
    <row r="118" spans="5:48" ht="17" thickBot="1" x14ac:dyDescent="0.25">
      <c r="E118" s="6"/>
      <c r="L118" s="51"/>
      <c r="N118" s="7"/>
      <c r="AN118" s="197"/>
      <c r="AO118" s="198"/>
      <c r="AP118" s="198"/>
      <c r="AQ118" s="198"/>
      <c r="AR118" s="199">
        <f>SUM(AR113:AR117)</f>
        <v>1916.35</v>
      </c>
    </row>
    <row r="119" spans="5:48" ht="17" thickBot="1" x14ac:dyDescent="0.25">
      <c r="E119" s="6"/>
      <c r="L119" s="51"/>
      <c r="N119" s="7"/>
    </row>
    <row r="120" spans="5:48" ht="24" x14ac:dyDescent="0.2">
      <c r="E120" s="6"/>
      <c r="L120" s="51"/>
      <c r="N120" s="7"/>
      <c r="AN120" s="525" t="s">
        <v>282</v>
      </c>
      <c r="AO120" s="505"/>
      <c r="AP120" s="505"/>
      <c r="AQ120" s="505"/>
      <c r="AR120" s="506"/>
      <c r="AV120" s="30"/>
    </row>
    <row r="121" spans="5:48" hidden="1" outlineLevel="2" x14ac:dyDescent="0.2">
      <c r="E121" s="6"/>
      <c r="L121" s="51"/>
      <c r="N121" s="7"/>
      <c r="AN121" s="507" t="s">
        <v>283</v>
      </c>
      <c r="AO121" s="508"/>
      <c r="AP121" s="509"/>
      <c r="AQ121" s="510"/>
      <c r="AR121" s="511">
        <v>16034.86</v>
      </c>
    </row>
    <row r="122" spans="5:48" hidden="1" outlineLevel="1" x14ac:dyDescent="0.2">
      <c r="E122" s="6"/>
      <c r="L122" s="34"/>
      <c r="N122" s="7"/>
      <c r="AN122" s="507" t="s">
        <v>280</v>
      </c>
      <c r="AO122" s="508"/>
      <c r="AP122" s="508"/>
      <c r="AQ122" s="508"/>
      <c r="AR122" s="512">
        <f>BG15</f>
        <v>13966.5</v>
      </c>
    </row>
    <row r="123" spans="5:48" ht="17" hidden="1" outlineLevel="1" thickBot="1" x14ac:dyDescent="0.25">
      <c r="E123" s="6"/>
      <c r="L123" s="34"/>
      <c r="N123" s="7"/>
      <c r="AN123" s="507" t="s">
        <v>281</v>
      </c>
      <c r="AO123" s="508"/>
      <c r="AP123" s="508"/>
      <c r="AQ123" s="508"/>
      <c r="AR123" s="512">
        <f>-L73</f>
        <v>-16164.399999999998</v>
      </c>
    </row>
    <row r="124" spans="5:48" ht="20" hidden="1" outlineLevel="1" thickBot="1" x14ac:dyDescent="0.3">
      <c r="E124" s="6"/>
      <c r="L124" s="44"/>
      <c r="N124" s="7"/>
      <c r="AN124" s="513" t="s">
        <v>285</v>
      </c>
      <c r="AO124" s="514"/>
      <c r="AP124" s="515"/>
      <c r="AQ124" s="526" t="str">
        <f>IF(AR124=AR129, "OK","ERROR")</f>
        <v>OK</v>
      </c>
      <c r="AR124" s="527">
        <f>SUM(AR121:AR123)</f>
        <v>13836.960000000003</v>
      </c>
    </row>
    <row r="125" spans="5:48" hidden="1" outlineLevel="1" x14ac:dyDescent="0.2">
      <c r="AN125" s="507"/>
      <c r="AO125" s="508"/>
      <c r="AP125" s="509"/>
      <c r="AQ125" s="510"/>
      <c r="AR125" s="518"/>
    </row>
    <row r="126" spans="5:48" collapsed="1" x14ac:dyDescent="0.2">
      <c r="AN126" s="507" t="s">
        <v>8</v>
      </c>
      <c r="AO126" s="508"/>
      <c r="AP126" s="509"/>
      <c r="AQ126" s="510"/>
      <c r="AR126" s="518">
        <v>20718.169999999998</v>
      </c>
    </row>
    <row r="127" spans="5:48" x14ac:dyDescent="0.2">
      <c r="AN127" s="507" t="s">
        <v>28</v>
      </c>
      <c r="AO127" s="508"/>
      <c r="AP127" s="509"/>
      <c r="AQ127" s="510"/>
      <c r="AR127" s="518">
        <v>0</v>
      </c>
    </row>
    <row r="128" spans="5:48" x14ac:dyDescent="0.2">
      <c r="AN128" s="507" t="s">
        <v>17</v>
      </c>
      <c r="AO128" s="508"/>
      <c r="AP128" s="509"/>
      <c r="AQ128" s="510"/>
      <c r="AR128" s="518">
        <f>-C67</f>
        <v>-6881.21</v>
      </c>
    </row>
    <row r="129" spans="2:59" ht="19" x14ac:dyDescent="0.25">
      <c r="AN129" s="513" t="s">
        <v>284</v>
      </c>
      <c r="AO129" s="508"/>
      <c r="AP129" s="519"/>
      <c r="AQ129" s="520"/>
      <c r="AR129" s="521">
        <f>SUM(AR126:AR128)</f>
        <v>13836.96</v>
      </c>
    </row>
    <row r="130" spans="2:59" x14ac:dyDescent="0.2">
      <c r="AN130" s="507" t="s">
        <v>180</v>
      </c>
      <c r="AO130" s="508"/>
      <c r="AP130" s="519"/>
      <c r="AQ130" s="520"/>
      <c r="AR130" s="518">
        <f>N65</f>
        <v>5041.8416666666672</v>
      </c>
    </row>
    <row r="131" spans="2:59" x14ac:dyDescent="0.2">
      <c r="AN131" s="507" t="s">
        <v>181</v>
      </c>
      <c r="AO131" s="508"/>
      <c r="AP131" s="519"/>
      <c r="AQ131" s="520"/>
      <c r="AR131" s="518">
        <f>SUM(M59:M65)</f>
        <v>1186.3683333333333</v>
      </c>
    </row>
    <row r="132" spans="2:59" ht="17" thickBot="1" x14ac:dyDescent="0.25">
      <c r="AN132" s="516" t="s">
        <v>184</v>
      </c>
      <c r="AO132" s="508"/>
      <c r="AP132" s="515"/>
      <c r="AQ132" s="528">
        <f>IF(AR132=AS111, "OK",AR132-AS111)</f>
        <v>-0.13999999999941792</v>
      </c>
      <c r="AR132" s="517">
        <f>SUM(AR129:AR131)</f>
        <v>20065.169999999998</v>
      </c>
    </row>
    <row r="133" spans="2:59" ht="17" thickBot="1" x14ac:dyDescent="0.25">
      <c r="AN133" s="522"/>
      <c r="AO133" s="523"/>
      <c r="AP133" s="523"/>
      <c r="AQ133" s="523"/>
      <c r="AR133" s="524"/>
    </row>
    <row r="140" spans="2:59" x14ac:dyDescent="0.2">
      <c r="BC140" s="5"/>
      <c r="BD140" s="5"/>
      <c r="BE140" s="5"/>
      <c r="BF140" s="5"/>
      <c r="BG140" s="5"/>
    </row>
    <row r="144" spans="2:59" s="5" customFormat="1" x14ac:dyDescent="0.2">
      <c r="B144" s="19"/>
      <c r="C144" s="19"/>
      <c r="G144" s="187"/>
      <c r="H144" s="541"/>
      <c r="I144" s="205"/>
      <c r="J144" s="45"/>
      <c r="K144" s="184"/>
      <c r="L144" s="29"/>
      <c r="M144" s="168"/>
      <c r="N144" s="10"/>
      <c r="O144" s="11"/>
      <c r="AE144" s="215"/>
      <c r="AG144" s="38"/>
      <c r="AH144" s="38"/>
      <c r="AI144" s="38"/>
      <c r="AJ144" s="38"/>
      <c r="AP144" s="138"/>
      <c r="AR144" s="138"/>
      <c r="BC144"/>
      <c r="BD144"/>
      <c r="BE144"/>
      <c r="BF144"/>
      <c r="BG144"/>
    </row>
  </sheetData>
  <mergeCells count="27">
    <mergeCell ref="AP89:AS89"/>
    <mergeCell ref="C16:C17"/>
    <mergeCell ref="BC2:BD2"/>
    <mergeCell ref="BC5:BC6"/>
    <mergeCell ref="BD5:BD6"/>
    <mergeCell ref="P16:V16"/>
    <mergeCell ref="F16:F17"/>
    <mergeCell ref="AB16:AB17"/>
    <mergeCell ref="W16:W17"/>
    <mergeCell ref="AD16:AD17"/>
    <mergeCell ref="H16:H17"/>
    <mergeCell ref="BF4:BF5"/>
    <mergeCell ref="E16:E17"/>
    <mergeCell ref="O16:O17"/>
    <mergeCell ref="N16:N17"/>
    <mergeCell ref="M16:M17"/>
    <mergeCell ref="L16:L17"/>
    <mergeCell ref="J16:J17"/>
    <mergeCell ref="G16:G17"/>
    <mergeCell ref="I16:I17"/>
    <mergeCell ref="AC16:AC17"/>
    <mergeCell ref="AE16:AE17"/>
    <mergeCell ref="K16:K17"/>
    <mergeCell ref="X16:X17"/>
    <mergeCell ref="Y16:Y17"/>
    <mergeCell ref="Z16:Z17"/>
    <mergeCell ref="AA16:AA17"/>
  </mergeCells>
  <pageMargins left="0" right="0" top="0.75" bottom="0.75" header="0.3" footer="0.3"/>
  <pageSetup paperSize="9" scale="47" orientation="landscape" horizontalDpi="0" verticalDpi="0"/>
  <ignoredErrors>
    <ignoredError sqref="AQ97" formula="1"/>
    <ignoredError sqref="G53 G50 H29 H30:H36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5AE77BF-2433-9045-9504-2C959D01B182}">
          <x14:formula1>
            <xm:f>'LIST 1'!$D$2:$D$3</xm:f>
          </x14:formula1>
          <xm:sqref>BF7:BF14 I18:J67</xm:sqref>
        </x14:dataValidation>
        <x14:dataValidation type="list" allowBlank="1" showInputMessage="1" showErrorMessage="1" xr:uid="{F4778BFA-3D33-1342-AED2-CFF244E618E9}">
          <x14:formula1>
            <xm:f>'LIST 1'!$B$3:$B$17</xm:f>
          </x14:formula1>
          <xm:sqref>K16:K67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3C3A4-DAF9-5145-A5E0-541051BC9964}">
  <sheetPr>
    <tabColor theme="9" tint="0.39997558519241921"/>
    <pageSetUpPr fitToPage="1"/>
  </sheetPr>
  <dimension ref="B2:AT132"/>
  <sheetViews>
    <sheetView topLeftCell="L11" workbookViewId="0">
      <selection activeCell="R11" sqref="R11"/>
    </sheetView>
  </sheetViews>
  <sheetFormatPr baseColWidth="10" defaultRowHeight="16" outlineLevelRow="1" outlineLevelCol="1" x14ac:dyDescent="0.2"/>
  <cols>
    <col min="2" max="2" width="6.5" customWidth="1"/>
    <col min="3" max="3" width="4.83203125" customWidth="1"/>
    <col min="4" max="4" width="40" customWidth="1"/>
    <col min="5" max="5" width="10.83203125" style="265" customWidth="1" outlineLevel="1"/>
    <col min="6" max="6" width="12.5" style="265" customWidth="1" outlineLevel="1"/>
    <col min="7" max="7" width="5.1640625" customWidth="1" outlineLevel="1"/>
    <col min="8" max="8" width="4.83203125" customWidth="1"/>
    <col min="9" max="9" width="10.83203125" style="265"/>
    <col min="10" max="10" width="12.83203125" style="265" customWidth="1"/>
    <col min="11" max="11" width="2.6640625" style="265" customWidth="1"/>
    <col min="12" max="12" width="10.83203125" style="272"/>
    <col min="13" max="13" width="12.33203125" style="272" customWidth="1"/>
    <col min="14" max="14" width="2.5" style="272" customWidth="1"/>
    <col min="15" max="15" width="12.83203125" style="272" customWidth="1"/>
    <col min="16" max="16" width="10.83203125" style="272"/>
    <col min="17" max="17" width="4.83203125" style="5" customWidth="1"/>
    <col min="18" max="18" width="60.83203125" customWidth="1"/>
    <col min="19" max="19" width="10.83203125" customWidth="1" outlineLevel="1"/>
    <col min="20" max="20" width="11.83203125" style="39" customWidth="1" outlineLevel="1"/>
    <col min="21" max="21" width="3.83203125" customWidth="1"/>
    <col min="23" max="23" width="3.5" customWidth="1"/>
    <col min="25" max="25" width="3.83203125" customWidth="1"/>
    <col min="27" max="27" width="3.1640625" customWidth="1"/>
    <col min="28" max="28" width="39.33203125" customWidth="1"/>
    <col min="29" max="33" width="10.83203125" style="39"/>
    <col min="34" max="34" width="3.1640625" style="39" customWidth="1"/>
    <col min="35" max="35" width="55.33203125" style="273" customWidth="1"/>
    <col min="36" max="36" width="21.1640625" style="39" customWidth="1"/>
    <col min="37" max="37" width="19" customWidth="1"/>
    <col min="38" max="38" width="8.1640625" customWidth="1"/>
    <col min="39" max="39" width="13.6640625" customWidth="1"/>
    <col min="40" max="40" width="40.83203125" customWidth="1"/>
    <col min="41" max="41" width="12.33203125" customWidth="1"/>
    <col min="42" max="42" width="43.83203125" customWidth="1"/>
  </cols>
  <sheetData>
    <row r="2" spans="2:36" ht="21" x14ac:dyDescent="0.25">
      <c r="B2" s="271" t="s">
        <v>13</v>
      </c>
    </row>
    <row r="3" spans="2:36" ht="21" x14ac:dyDescent="0.25">
      <c r="B3" s="271" t="s">
        <v>268</v>
      </c>
    </row>
    <row r="4" spans="2:36" ht="22" thickBot="1" x14ac:dyDescent="0.3">
      <c r="B4" s="271"/>
    </row>
    <row r="5" spans="2:36" ht="29" customHeight="1" thickTop="1" thickBot="1" x14ac:dyDescent="0.25">
      <c r="E5" s="274"/>
      <c r="F5" s="275"/>
      <c r="H5" s="276"/>
      <c r="I5" s="277"/>
      <c r="J5" s="277"/>
      <c r="K5" s="277"/>
      <c r="L5" s="278"/>
      <c r="M5" s="278"/>
      <c r="N5" s="278"/>
      <c r="O5" s="278"/>
      <c r="P5" s="279"/>
    </row>
    <row r="6" spans="2:36" s="5" customFormat="1" ht="60" x14ac:dyDescent="0.25">
      <c r="B6" s="8"/>
      <c r="C6" s="8"/>
      <c r="D6" s="8"/>
      <c r="E6" s="555" t="s">
        <v>189</v>
      </c>
      <c r="F6" s="556"/>
      <c r="G6" s="8"/>
      <c r="H6" s="282"/>
      <c r="I6" s="557" t="s">
        <v>190</v>
      </c>
      <c r="J6" s="558"/>
      <c r="K6" s="283"/>
      <c r="L6" s="559" t="s">
        <v>189</v>
      </c>
      <c r="M6" s="560"/>
      <c r="N6" s="284"/>
      <c r="O6" s="285" t="s">
        <v>191</v>
      </c>
      <c r="P6" s="286"/>
      <c r="T6" s="287"/>
      <c r="AC6" s="287"/>
      <c r="AD6" s="287"/>
      <c r="AE6" s="287"/>
      <c r="AF6" s="287"/>
      <c r="AG6" s="287"/>
      <c r="AH6" s="287"/>
      <c r="AI6" s="266"/>
      <c r="AJ6" s="287"/>
    </row>
    <row r="7" spans="2:36" s="5" customFormat="1" ht="20" thickBot="1" x14ac:dyDescent="0.3">
      <c r="B7" s="8" t="s">
        <v>192</v>
      </c>
      <c r="C7" s="8"/>
      <c r="D7" s="8"/>
      <c r="E7" s="280"/>
      <c r="F7" s="281"/>
      <c r="G7" s="8"/>
      <c r="H7" s="282"/>
      <c r="I7" s="288"/>
      <c r="J7" s="289">
        <v>16035</v>
      </c>
      <c r="K7" s="283"/>
      <c r="L7" s="290"/>
      <c r="M7" s="291"/>
      <c r="N7" s="284"/>
      <c r="O7" s="292"/>
      <c r="P7" s="286"/>
      <c r="T7" s="287"/>
      <c r="AC7" s="287"/>
      <c r="AD7" s="287"/>
      <c r="AE7" s="287"/>
      <c r="AF7" s="287"/>
      <c r="AG7" s="287"/>
      <c r="AH7" s="287"/>
      <c r="AI7" s="266"/>
      <c r="AJ7" s="287"/>
    </row>
    <row r="8" spans="2:36" ht="19" customHeight="1" thickBot="1" x14ac:dyDescent="0.3">
      <c r="B8" s="8" t="s">
        <v>193</v>
      </c>
      <c r="C8" s="293"/>
      <c r="D8" s="293"/>
      <c r="E8" s="294"/>
      <c r="F8" s="295">
        <v>14625</v>
      </c>
      <c r="G8" s="293"/>
      <c r="H8" s="296"/>
      <c r="I8" s="297"/>
      <c r="J8" s="291"/>
      <c r="K8" s="298"/>
      <c r="L8" s="299"/>
      <c r="M8" s="300">
        <v>14625</v>
      </c>
      <c r="N8" s="301"/>
      <c r="O8" s="302"/>
      <c r="P8" s="303"/>
    </row>
    <row r="9" spans="2:36" ht="19" customHeight="1" x14ac:dyDescent="0.25">
      <c r="B9" s="293"/>
      <c r="C9" s="293"/>
      <c r="D9" s="293"/>
      <c r="E9" s="294"/>
      <c r="F9" s="304"/>
      <c r="G9" s="293"/>
      <c r="H9" s="296"/>
      <c r="I9" s="297"/>
      <c r="J9" s="291"/>
      <c r="K9" s="298"/>
      <c r="L9" s="299"/>
      <c r="M9" s="305"/>
      <c r="N9" s="301"/>
      <c r="O9" s="302"/>
      <c r="P9" s="303"/>
    </row>
    <row r="10" spans="2:36" s="76" customFormat="1" ht="19" customHeight="1" x14ac:dyDescent="0.2">
      <c r="B10" s="306" t="s">
        <v>194</v>
      </c>
      <c r="C10" s="306"/>
      <c r="D10" s="306"/>
      <c r="E10" s="307"/>
      <c r="F10" s="308">
        <v>12000</v>
      </c>
      <c r="G10" s="306"/>
      <c r="H10" s="309"/>
      <c r="I10" s="310"/>
      <c r="J10" s="311">
        <v>12000</v>
      </c>
      <c r="K10" s="312"/>
      <c r="L10" s="310"/>
      <c r="M10" s="313">
        <v>12000</v>
      </c>
      <c r="N10" s="314"/>
      <c r="O10" s="315">
        <f>J10-M10</f>
        <v>0</v>
      </c>
      <c r="P10" s="316"/>
      <c r="Q10" s="1"/>
      <c r="T10" s="39"/>
      <c r="AC10" s="39"/>
      <c r="AD10" s="39"/>
      <c r="AE10" s="39"/>
      <c r="AF10" s="39"/>
      <c r="AG10" s="39"/>
      <c r="AH10" s="39"/>
      <c r="AI10" s="273"/>
      <c r="AJ10" s="39"/>
    </row>
    <row r="11" spans="2:36" s="76" customFormat="1" ht="19" customHeight="1" x14ac:dyDescent="0.2">
      <c r="B11" s="306" t="s">
        <v>267</v>
      </c>
      <c r="C11" s="306"/>
      <c r="D11" s="306"/>
      <c r="E11" s="307"/>
      <c r="F11" s="308"/>
      <c r="G11" s="306"/>
      <c r="H11" s="309"/>
      <c r="I11" s="310"/>
      <c r="J11" s="311">
        <v>1590</v>
      </c>
      <c r="K11" s="312"/>
      <c r="L11" s="310"/>
      <c r="M11" s="313"/>
      <c r="N11" s="314"/>
      <c r="O11" s="315">
        <f>J11-M11</f>
        <v>1590</v>
      </c>
      <c r="P11" s="316"/>
      <c r="Q11" s="1"/>
      <c r="T11" s="39"/>
      <c r="AC11" s="39"/>
      <c r="AD11" s="39"/>
      <c r="AE11" s="39"/>
      <c r="AF11" s="39"/>
      <c r="AG11" s="39"/>
      <c r="AH11" s="39"/>
      <c r="AI11" s="273"/>
      <c r="AJ11" s="39"/>
    </row>
    <row r="12" spans="2:36" s="13" customFormat="1" ht="41" customHeight="1" x14ac:dyDescent="0.2">
      <c r="B12" s="13" t="s">
        <v>195</v>
      </c>
      <c r="E12" s="317"/>
      <c r="F12" s="318">
        <f>SUM(F10:F11)</f>
        <v>12000</v>
      </c>
      <c r="H12" s="319"/>
      <c r="I12" s="320"/>
      <c r="J12" s="321">
        <f>SUM(J10:J11)</f>
        <v>13590</v>
      </c>
      <c r="K12" s="322"/>
      <c r="L12" s="323"/>
      <c r="M12" s="324">
        <f>SUM(M10:M11)</f>
        <v>12000</v>
      </c>
      <c r="N12" s="325"/>
      <c r="O12" s="326">
        <f>SUM(O10:O11)</f>
        <v>1590</v>
      </c>
      <c r="P12" s="327"/>
      <c r="T12" s="328"/>
      <c r="AC12" s="328"/>
      <c r="AD12" s="328"/>
      <c r="AE12" s="328"/>
      <c r="AF12" s="328"/>
      <c r="AG12" s="328"/>
      <c r="AH12" s="328"/>
      <c r="AI12" s="329"/>
      <c r="AJ12" s="328"/>
    </row>
    <row r="13" spans="2:36" ht="34" customHeight="1" x14ac:dyDescent="0.25">
      <c r="B13" s="293" t="s">
        <v>196</v>
      </c>
      <c r="C13" s="293"/>
      <c r="D13" s="293"/>
      <c r="E13" s="294"/>
      <c r="F13" s="304">
        <f>S35</f>
        <v>-3480</v>
      </c>
      <c r="G13" s="293"/>
      <c r="H13" s="296"/>
      <c r="I13" s="297"/>
      <c r="J13" s="291">
        <f>V35</f>
        <v>-3575</v>
      </c>
      <c r="K13" s="298"/>
      <c r="L13" s="299"/>
      <c r="M13" s="305">
        <f>X35</f>
        <v>-3480</v>
      </c>
      <c r="N13" s="301"/>
      <c r="O13" s="474">
        <f>J13-M13</f>
        <v>-95</v>
      </c>
      <c r="P13" s="303"/>
    </row>
    <row r="14" spans="2:36" ht="19" customHeight="1" x14ac:dyDescent="0.25">
      <c r="B14" s="293" t="s">
        <v>197</v>
      </c>
      <c r="C14" s="293"/>
      <c r="D14" s="293"/>
      <c r="E14" s="294"/>
      <c r="F14" s="304">
        <f>S47</f>
        <v>-4900</v>
      </c>
      <c r="G14" s="293"/>
      <c r="H14" s="296"/>
      <c r="I14" s="297"/>
      <c r="J14" s="291">
        <f>V47</f>
        <v>-1916.35</v>
      </c>
      <c r="K14" s="298"/>
      <c r="L14" s="299"/>
      <c r="M14" s="305">
        <f>X47</f>
        <v>-4900</v>
      </c>
      <c r="N14" s="301"/>
      <c r="O14" s="315">
        <f>J14-M14</f>
        <v>2983.65</v>
      </c>
      <c r="P14" s="303"/>
    </row>
    <row r="15" spans="2:36" s="76" customFormat="1" ht="19" customHeight="1" x14ac:dyDescent="0.2">
      <c r="B15" s="306" t="s">
        <v>198</v>
      </c>
      <c r="C15" s="306"/>
      <c r="D15" s="306"/>
      <c r="E15" s="330"/>
      <c r="F15" s="308">
        <f>S60</f>
        <v>-4445</v>
      </c>
      <c r="G15" s="306"/>
      <c r="H15" s="309"/>
      <c r="I15" s="331"/>
      <c r="J15" s="311">
        <f>V60</f>
        <v>-2037.8899999999999</v>
      </c>
      <c r="K15" s="312"/>
      <c r="L15" s="332"/>
      <c r="M15" s="313">
        <f>X60</f>
        <v>-4445</v>
      </c>
      <c r="N15" s="314"/>
      <c r="O15" s="315">
        <f t="shared" ref="O15:O19" si="0">J15-M15</f>
        <v>2407.11</v>
      </c>
      <c r="P15" s="316"/>
      <c r="Q15" s="1"/>
      <c r="T15" s="39"/>
      <c r="AC15" s="39"/>
      <c r="AD15" s="39"/>
      <c r="AE15" s="39"/>
      <c r="AF15" s="39"/>
      <c r="AG15" s="39"/>
      <c r="AH15" s="39"/>
      <c r="AI15" s="273"/>
      <c r="AJ15" s="39"/>
    </row>
    <row r="16" spans="2:36" s="76" customFormat="1" ht="19" customHeight="1" x14ac:dyDescent="0.2">
      <c r="B16" s="306" t="s">
        <v>199</v>
      </c>
      <c r="C16" s="306"/>
      <c r="D16" s="306"/>
      <c r="E16" s="330"/>
      <c r="F16" s="308">
        <f>S64</f>
        <v>-150</v>
      </c>
      <c r="G16" s="306"/>
      <c r="H16" s="309"/>
      <c r="I16" s="331"/>
      <c r="J16" s="311">
        <f>V64</f>
        <v>-160</v>
      </c>
      <c r="K16" s="312"/>
      <c r="L16" s="332"/>
      <c r="M16" s="313">
        <f>X64</f>
        <v>-150</v>
      </c>
      <c r="N16" s="314"/>
      <c r="O16" s="315">
        <f t="shared" si="0"/>
        <v>-10</v>
      </c>
      <c r="P16" s="316"/>
      <c r="Q16" s="1"/>
      <c r="T16" s="39"/>
      <c r="AC16" s="39"/>
      <c r="AD16" s="39"/>
      <c r="AE16" s="39"/>
      <c r="AF16" s="39"/>
      <c r="AG16" s="39"/>
      <c r="AH16" s="39"/>
      <c r="AI16" s="273"/>
      <c r="AJ16" s="39"/>
    </row>
    <row r="17" spans="2:36" s="76" customFormat="1" ht="19" customHeight="1" x14ac:dyDescent="0.2">
      <c r="B17" s="306" t="s">
        <v>200</v>
      </c>
      <c r="C17" s="306"/>
      <c r="D17" s="306"/>
      <c r="E17" s="333"/>
      <c r="F17" s="308">
        <f>S70</f>
        <v>0</v>
      </c>
      <c r="G17" s="306"/>
      <c r="H17" s="309"/>
      <c r="I17" s="310"/>
      <c r="J17" s="311">
        <f>V70</f>
        <v>-1790</v>
      </c>
      <c r="K17" s="312"/>
      <c r="L17" s="334"/>
      <c r="M17" s="313">
        <f>X70</f>
        <v>0</v>
      </c>
      <c r="N17" s="314"/>
      <c r="O17" s="315">
        <f t="shared" si="0"/>
        <v>-1790</v>
      </c>
      <c r="P17" s="316"/>
      <c r="Q17" s="1"/>
      <c r="T17" s="39"/>
      <c r="AC17" s="39"/>
      <c r="AD17" s="39"/>
      <c r="AE17" s="39"/>
      <c r="AF17" s="39"/>
      <c r="AG17" s="39"/>
      <c r="AH17" s="39"/>
      <c r="AI17" s="273"/>
      <c r="AJ17" s="39"/>
    </row>
    <row r="18" spans="2:36" s="76" customFormat="1" ht="19" customHeight="1" x14ac:dyDescent="0.25">
      <c r="B18" s="306" t="s">
        <v>110</v>
      </c>
      <c r="C18" s="306"/>
      <c r="D18" s="306"/>
      <c r="E18" s="333"/>
      <c r="F18" s="308">
        <v>-1000</v>
      </c>
      <c r="G18" s="306"/>
      <c r="H18" s="309"/>
      <c r="I18" s="297"/>
      <c r="J18" s="311">
        <v>-75</v>
      </c>
      <c r="K18" s="312"/>
      <c r="L18" s="297"/>
      <c r="M18" s="311">
        <v>-1000</v>
      </c>
      <c r="N18" s="314"/>
      <c r="O18" s="315">
        <f t="shared" si="0"/>
        <v>925</v>
      </c>
      <c r="P18" s="316"/>
      <c r="Q18" s="1"/>
      <c r="T18" s="39"/>
      <c r="AC18" s="39"/>
      <c r="AD18" s="39"/>
      <c r="AE18" s="39"/>
      <c r="AF18" s="39"/>
      <c r="AG18" s="39"/>
      <c r="AH18" s="39"/>
      <c r="AI18" s="273"/>
      <c r="AJ18" s="39"/>
    </row>
    <row r="19" spans="2:36" ht="19" customHeight="1" x14ac:dyDescent="0.25">
      <c r="B19" s="293" t="s">
        <v>5</v>
      </c>
      <c r="C19" s="293"/>
      <c r="D19" s="293"/>
      <c r="E19" s="294"/>
      <c r="F19" s="304">
        <v>-1000</v>
      </c>
      <c r="G19" s="293"/>
      <c r="H19" s="296"/>
      <c r="I19" s="297"/>
      <c r="J19" s="291"/>
      <c r="K19" s="298"/>
      <c r="L19" s="299"/>
      <c r="M19" s="305">
        <v>-1000</v>
      </c>
      <c r="N19" s="301"/>
      <c r="O19" s="315">
        <f t="shared" si="0"/>
        <v>1000</v>
      </c>
      <c r="P19" s="303"/>
    </row>
    <row r="20" spans="2:36" s="13" customFormat="1" ht="37" customHeight="1" x14ac:dyDescent="0.2">
      <c r="B20" s="13" t="s">
        <v>201</v>
      </c>
      <c r="E20" s="317"/>
      <c r="F20" s="318">
        <f>SUM(F13:F19)</f>
        <v>-14975</v>
      </c>
      <c r="H20" s="319"/>
      <c r="I20" s="320"/>
      <c r="J20" s="324">
        <f>SUM(J13:J19)</f>
        <v>-9554.24</v>
      </c>
      <c r="K20" s="322"/>
      <c r="L20" s="323"/>
      <c r="M20" s="324">
        <f>SUM(M13:M19)</f>
        <v>-14975</v>
      </c>
      <c r="N20" s="325"/>
      <c r="O20" s="326">
        <f>SUM(O13:O19)</f>
        <v>5420.76</v>
      </c>
      <c r="P20" s="327"/>
      <c r="T20" s="328"/>
      <c r="AC20" s="328"/>
      <c r="AD20" s="328"/>
      <c r="AE20" s="328"/>
      <c r="AF20" s="328"/>
      <c r="AG20" s="328"/>
      <c r="AH20" s="328"/>
      <c r="AI20" s="329"/>
      <c r="AJ20" s="328"/>
    </row>
    <row r="21" spans="2:36" s="13" customFormat="1" ht="37" customHeight="1" thickBot="1" x14ac:dyDescent="0.25">
      <c r="B21" s="13" t="s">
        <v>202</v>
      </c>
      <c r="E21" s="317"/>
      <c r="F21" s="335">
        <f>F12+F20</f>
        <v>-2975</v>
      </c>
      <c r="H21" s="319"/>
      <c r="I21" s="320"/>
      <c r="J21" s="336">
        <f>J12+J20</f>
        <v>4035.76</v>
      </c>
      <c r="K21" s="322"/>
      <c r="L21" s="323"/>
      <c r="M21" s="336">
        <f>M12+M20</f>
        <v>-2975</v>
      </c>
      <c r="N21" s="325"/>
      <c r="O21" s="337">
        <f>O12+O20</f>
        <v>7010.76</v>
      </c>
      <c r="P21" s="327"/>
      <c r="T21" s="328"/>
      <c r="AC21" s="328"/>
      <c r="AD21" s="328"/>
      <c r="AE21" s="328"/>
      <c r="AF21" s="328"/>
      <c r="AG21" s="328"/>
      <c r="AH21" s="328"/>
      <c r="AI21" s="329"/>
      <c r="AJ21" s="328"/>
    </row>
    <row r="22" spans="2:36" ht="19" customHeight="1" thickBot="1" x14ac:dyDescent="0.3">
      <c r="B22" s="293"/>
      <c r="C22" s="293"/>
      <c r="D22" s="293"/>
      <c r="E22" s="294"/>
      <c r="F22" s="304"/>
      <c r="G22" s="293"/>
      <c r="H22" s="296"/>
      <c r="I22" s="297"/>
      <c r="J22" s="291"/>
      <c r="K22" s="298"/>
      <c r="L22" s="299"/>
      <c r="M22" s="305"/>
      <c r="N22" s="301"/>
      <c r="O22" s="338"/>
      <c r="P22" s="303"/>
    </row>
    <row r="23" spans="2:36" s="5" customFormat="1" ht="19" customHeight="1" thickBot="1" x14ac:dyDescent="0.3">
      <c r="B23" s="8" t="s">
        <v>203</v>
      </c>
      <c r="C23" s="8"/>
      <c r="D23" s="8"/>
      <c r="E23" s="339"/>
      <c r="F23" s="340">
        <f>F8+F21</f>
        <v>11650</v>
      </c>
      <c r="G23" s="8"/>
      <c r="H23" s="282"/>
      <c r="I23" s="341"/>
      <c r="J23" s="342">
        <f>J7+J21</f>
        <v>20070.760000000002</v>
      </c>
      <c r="K23" s="283"/>
      <c r="L23" s="343"/>
      <c r="M23" s="344">
        <f>M8+M21</f>
        <v>11650</v>
      </c>
      <c r="N23" s="338"/>
      <c r="O23" s="338"/>
      <c r="P23" s="345"/>
      <c r="T23" s="287"/>
      <c r="AC23" s="287"/>
      <c r="AD23" s="287"/>
      <c r="AE23" s="287"/>
      <c r="AF23" s="287"/>
      <c r="AG23" s="287"/>
      <c r="AH23" s="287"/>
      <c r="AI23" s="266"/>
      <c r="AJ23" s="287"/>
    </row>
    <row r="24" spans="2:36" s="5" customFormat="1" ht="19" hidden="1" customHeight="1" outlineLevel="1" x14ac:dyDescent="0.25">
      <c r="B24" s="8"/>
      <c r="C24" s="8"/>
      <c r="D24" s="8"/>
      <c r="E24" s="339"/>
      <c r="F24" s="346"/>
      <c r="G24" s="8"/>
      <c r="H24" s="282"/>
      <c r="I24" s="341"/>
      <c r="J24" s="347"/>
      <c r="K24" s="283"/>
      <c r="L24" s="343"/>
      <c r="M24" s="348"/>
      <c r="N24" s="338"/>
      <c r="O24" s="338"/>
      <c r="P24" s="345"/>
      <c r="T24" s="287"/>
      <c r="AC24" s="287"/>
      <c r="AD24" s="287"/>
      <c r="AE24" s="287"/>
      <c r="AF24" s="287"/>
      <c r="AG24" s="287"/>
      <c r="AH24" s="287"/>
      <c r="AI24" s="266"/>
      <c r="AJ24" s="287"/>
    </row>
    <row r="25" spans="2:36" ht="19" hidden="1" outlineLevel="1" x14ac:dyDescent="0.25">
      <c r="B25" s="293"/>
      <c r="C25" s="293" t="s">
        <v>204</v>
      </c>
      <c r="D25" s="293"/>
      <c r="E25" s="294"/>
      <c r="F25" s="349">
        <v>516</v>
      </c>
      <c r="G25" s="293"/>
      <c r="H25" s="296"/>
      <c r="I25" s="297"/>
      <c r="J25" s="291"/>
      <c r="K25" s="298"/>
      <c r="L25" s="299"/>
      <c r="M25" s="350">
        <v>516</v>
      </c>
      <c r="N25" s="301"/>
      <c r="O25" s="301"/>
      <c r="P25" s="303"/>
      <c r="Q25"/>
    </row>
    <row r="26" spans="2:36" ht="19" hidden="1" outlineLevel="1" x14ac:dyDescent="0.25">
      <c r="B26" s="293"/>
      <c r="C26" s="293" t="s">
        <v>205</v>
      </c>
      <c r="D26" s="293"/>
      <c r="E26" s="294"/>
      <c r="F26" s="351">
        <f>F10/F25</f>
        <v>23.255813953488371</v>
      </c>
      <c r="G26" s="293"/>
      <c r="H26" s="296"/>
      <c r="I26" s="297"/>
      <c r="J26" s="291"/>
      <c r="K26" s="298"/>
      <c r="L26" s="299"/>
      <c r="M26" s="352">
        <f>M10/M25</f>
        <v>23.255813953488371</v>
      </c>
      <c r="N26" s="301"/>
      <c r="O26" s="301"/>
      <c r="P26" s="303"/>
      <c r="Q26"/>
    </row>
    <row r="27" spans="2:36" ht="19" hidden="1" outlineLevel="1" x14ac:dyDescent="0.25">
      <c r="C27" s="293" t="s">
        <v>206</v>
      </c>
      <c r="E27" s="294"/>
      <c r="F27" s="353">
        <f>AO130</f>
        <v>7.8158139534883713</v>
      </c>
      <c r="G27" s="293"/>
      <c r="H27" s="296"/>
      <c r="I27" s="297"/>
      <c r="J27" s="291"/>
      <c r="K27" s="298"/>
      <c r="L27" s="299"/>
      <c r="M27" s="352">
        <f>F27</f>
        <v>7.8158139534883713</v>
      </c>
      <c r="N27" s="301"/>
      <c r="O27" s="301"/>
      <c r="P27" s="303"/>
      <c r="Q27"/>
    </row>
    <row r="28" spans="2:36" ht="20" collapsed="1" thickBot="1" x14ac:dyDescent="0.3">
      <c r="B28" s="293"/>
      <c r="D28" s="293"/>
      <c r="E28" s="294"/>
      <c r="F28" s="346"/>
      <c r="G28" s="293"/>
      <c r="H28" s="296"/>
      <c r="I28" s="354"/>
      <c r="J28" s="289"/>
      <c r="K28" s="298"/>
      <c r="L28" s="355"/>
      <c r="M28" s="300"/>
      <c r="N28" s="301"/>
      <c r="O28" s="301"/>
      <c r="P28" s="303"/>
    </row>
    <row r="29" spans="2:36" ht="18" thickTop="1" thickBot="1" x14ac:dyDescent="0.25">
      <c r="E29" s="356"/>
      <c r="F29" s="357"/>
      <c r="H29" s="358"/>
      <c r="I29" s="359"/>
      <c r="J29" s="359"/>
      <c r="K29" s="359"/>
      <c r="L29" s="360"/>
      <c r="M29" s="360"/>
      <c r="N29" s="360"/>
      <c r="O29" s="360"/>
      <c r="P29" s="361"/>
      <c r="U29" s="362"/>
      <c r="V29" s="363"/>
      <c r="W29" s="363"/>
      <c r="X29" s="363"/>
      <c r="Y29" s="363"/>
      <c r="Z29" s="363"/>
      <c r="AA29" s="364"/>
    </row>
    <row r="30" spans="2:36" ht="35" thickTop="1" x14ac:dyDescent="0.2">
      <c r="S30" s="365" t="s">
        <v>189</v>
      </c>
      <c r="T30" s="366" t="s">
        <v>207</v>
      </c>
      <c r="U30" s="367"/>
      <c r="V30" s="368" t="s">
        <v>190</v>
      </c>
      <c r="W30" s="369"/>
      <c r="X30" s="365" t="s">
        <v>189</v>
      </c>
      <c r="Y30" s="370"/>
      <c r="Z30" s="371" t="s">
        <v>208</v>
      </c>
      <c r="AA30" s="372"/>
    </row>
    <row r="31" spans="2:36" x14ac:dyDescent="0.2">
      <c r="Q31" s="5" t="s">
        <v>196</v>
      </c>
      <c r="S31" s="373"/>
      <c r="T31" s="366"/>
      <c r="U31" s="367"/>
      <c r="V31" s="374"/>
      <c r="W31" s="369"/>
      <c r="X31" s="373"/>
      <c r="Y31" s="370"/>
      <c r="Z31" s="375"/>
      <c r="AA31" s="372"/>
    </row>
    <row r="32" spans="2:36" x14ac:dyDescent="0.2">
      <c r="R32" t="s">
        <v>209</v>
      </c>
      <c r="S32" s="373">
        <v>-3300</v>
      </c>
      <c r="T32" s="366">
        <f>S32/12</f>
        <v>-275</v>
      </c>
      <c r="U32" s="367"/>
      <c r="V32" s="374">
        <v>-3300</v>
      </c>
      <c r="W32" s="369"/>
      <c r="X32" s="373">
        <v>-3300</v>
      </c>
      <c r="Y32" s="370"/>
      <c r="Z32" s="376">
        <f t="shared" ref="Z32:Z34" si="1">V32-X32</f>
        <v>0</v>
      </c>
      <c r="AA32" s="377"/>
    </row>
    <row r="33" spans="16:27" x14ac:dyDescent="0.2">
      <c r="R33" t="s">
        <v>210</v>
      </c>
      <c r="S33" s="373">
        <v>0</v>
      </c>
      <c r="T33" s="366">
        <f t="shared" ref="T33:T46" si="2">S33/12</f>
        <v>0</v>
      </c>
      <c r="U33" s="367"/>
      <c r="V33" s="374"/>
      <c r="W33" s="369"/>
      <c r="X33" s="373">
        <v>0</v>
      </c>
      <c r="Y33" s="370"/>
      <c r="Z33" s="376">
        <f t="shared" si="1"/>
        <v>0</v>
      </c>
      <c r="AA33" s="377"/>
    </row>
    <row r="34" spans="16:27" x14ac:dyDescent="0.2">
      <c r="R34" t="s">
        <v>211</v>
      </c>
      <c r="S34" s="373">
        <v>-180</v>
      </c>
      <c r="T34" s="366">
        <f t="shared" si="2"/>
        <v>-15</v>
      </c>
      <c r="U34" s="367"/>
      <c r="V34" s="374">
        <v>-275</v>
      </c>
      <c r="W34" s="369"/>
      <c r="X34" s="373">
        <v>-180</v>
      </c>
      <c r="Y34" s="370"/>
      <c r="Z34" s="376">
        <f t="shared" si="1"/>
        <v>-95</v>
      </c>
      <c r="AA34" s="377"/>
    </row>
    <row r="35" spans="16:27" ht="17" thickBot="1" x14ac:dyDescent="0.25">
      <c r="S35" s="378">
        <f>SUM(S31:S34)</f>
        <v>-3480</v>
      </c>
      <c r="T35" s="379">
        <f>SUM(T31:T34)</f>
        <v>-290</v>
      </c>
      <c r="U35" s="380"/>
      <c r="V35" s="381">
        <f>SUM(V31:V34)</f>
        <v>-3575</v>
      </c>
      <c r="W35" s="369"/>
      <c r="X35" s="378">
        <f>SUM(X31:X34)</f>
        <v>-3480</v>
      </c>
      <c r="Y35" s="369"/>
      <c r="Z35" s="382">
        <f>SUM(Z31:Z34)</f>
        <v>-95</v>
      </c>
      <c r="AA35" s="383"/>
    </row>
    <row r="36" spans="16:27" x14ac:dyDescent="0.2">
      <c r="Q36" s="5" t="s">
        <v>212</v>
      </c>
      <c r="S36" s="384"/>
      <c r="T36" s="366">
        <f t="shared" si="2"/>
        <v>0</v>
      </c>
      <c r="U36" s="380"/>
      <c r="V36" s="385"/>
      <c r="W36" s="369"/>
      <c r="X36" s="384"/>
      <c r="Y36" s="369"/>
      <c r="Z36" s="386"/>
      <c r="AA36" s="383"/>
    </row>
    <row r="37" spans="16:27" x14ac:dyDescent="0.2">
      <c r="P37" s="387"/>
      <c r="R37" t="s">
        <v>95</v>
      </c>
      <c r="S37" s="388">
        <v>-800</v>
      </c>
      <c r="T37" s="366">
        <f t="shared" si="2"/>
        <v>-66.666666666666671</v>
      </c>
      <c r="U37" s="380"/>
      <c r="V37" s="385">
        <v>-865</v>
      </c>
      <c r="W37" s="369"/>
      <c r="X37" s="388">
        <v>-800</v>
      </c>
      <c r="Y37" s="369"/>
      <c r="Z37" s="376">
        <f t="shared" ref="Z37:Z46" si="3">V37-X37</f>
        <v>-65</v>
      </c>
      <c r="AA37" s="377"/>
    </row>
    <row r="38" spans="16:27" x14ac:dyDescent="0.2">
      <c r="P38" s="387"/>
      <c r="R38" t="s">
        <v>213</v>
      </c>
      <c r="S38" s="388">
        <v>-2000</v>
      </c>
      <c r="T38" s="366">
        <f t="shared" si="2"/>
        <v>-166.66666666666666</v>
      </c>
      <c r="U38" s="380"/>
      <c r="V38" s="385">
        <v>-890</v>
      </c>
      <c r="W38" s="369"/>
      <c r="X38" s="388">
        <v>-2000</v>
      </c>
      <c r="Y38" s="369"/>
      <c r="Z38" s="376">
        <f t="shared" si="3"/>
        <v>1110</v>
      </c>
      <c r="AA38" s="377"/>
    </row>
    <row r="39" spans="16:27" x14ac:dyDescent="0.2">
      <c r="P39" s="387"/>
      <c r="R39" t="s">
        <v>214</v>
      </c>
      <c r="S39" s="388">
        <v>-150</v>
      </c>
      <c r="T39" s="366">
        <f t="shared" si="2"/>
        <v>-12.5</v>
      </c>
      <c r="U39" s="380"/>
      <c r="V39" s="385">
        <v>-92.5</v>
      </c>
      <c r="W39" s="369"/>
      <c r="X39" s="388">
        <v>-150</v>
      </c>
      <c r="Y39" s="369"/>
      <c r="Z39" s="376">
        <f t="shared" si="3"/>
        <v>57.5</v>
      </c>
      <c r="AA39" s="377"/>
    </row>
    <row r="40" spans="16:27" x14ac:dyDescent="0.2">
      <c r="P40" s="387"/>
      <c r="R40" t="s">
        <v>269</v>
      </c>
      <c r="S40" s="388">
        <v>-500</v>
      </c>
      <c r="T40" s="366">
        <f t="shared" si="2"/>
        <v>-41.666666666666664</v>
      </c>
      <c r="U40" s="380"/>
      <c r="V40" s="385"/>
      <c r="W40" s="369"/>
      <c r="X40" s="388">
        <v>-500</v>
      </c>
      <c r="Y40" s="369"/>
      <c r="Z40" s="376">
        <f t="shared" si="3"/>
        <v>500</v>
      </c>
      <c r="AA40" s="377"/>
    </row>
    <row r="41" spans="16:27" x14ac:dyDescent="0.2">
      <c r="P41" s="387"/>
      <c r="R41" t="s">
        <v>215</v>
      </c>
      <c r="S41" s="388">
        <v>0</v>
      </c>
      <c r="T41" s="366">
        <f t="shared" si="2"/>
        <v>0</v>
      </c>
      <c r="U41" s="380"/>
      <c r="V41" s="385"/>
      <c r="W41" s="369"/>
      <c r="X41" s="388">
        <v>0</v>
      </c>
      <c r="Y41" s="369"/>
      <c r="Z41" s="376">
        <f t="shared" si="3"/>
        <v>0</v>
      </c>
      <c r="AA41" s="377"/>
    </row>
    <row r="42" spans="16:27" x14ac:dyDescent="0.2">
      <c r="P42" s="387"/>
      <c r="R42" t="s">
        <v>216</v>
      </c>
      <c r="S42" s="388">
        <v>-200</v>
      </c>
      <c r="T42" s="366">
        <f t="shared" si="2"/>
        <v>-16.666666666666668</v>
      </c>
      <c r="U42" s="380"/>
      <c r="V42" s="385"/>
      <c r="W42" s="369"/>
      <c r="X42" s="388">
        <v>-200</v>
      </c>
      <c r="Y42" s="369"/>
      <c r="Z42" s="376">
        <f t="shared" si="3"/>
        <v>200</v>
      </c>
      <c r="AA42" s="377"/>
    </row>
    <row r="43" spans="16:27" x14ac:dyDescent="0.2">
      <c r="P43" s="387"/>
      <c r="R43" t="s">
        <v>96</v>
      </c>
      <c r="S43" s="388">
        <v>-500</v>
      </c>
      <c r="T43" s="366">
        <f t="shared" si="2"/>
        <v>-41.666666666666664</v>
      </c>
      <c r="U43" s="380"/>
      <c r="V43" s="385"/>
      <c r="W43" s="369"/>
      <c r="X43" s="388">
        <v>-500</v>
      </c>
      <c r="Y43" s="369"/>
      <c r="Z43" s="376">
        <f t="shared" si="3"/>
        <v>500</v>
      </c>
      <c r="AA43" s="377"/>
    </row>
    <row r="44" spans="16:27" x14ac:dyDescent="0.2">
      <c r="P44" s="387"/>
      <c r="R44" t="s">
        <v>97</v>
      </c>
      <c r="S44" s="388">
        <v>-500</v>
      </c>
      <c r="T44" s="366">
        <f t="shared" si="2"/>
        <v>-41.666666666666664</v>
      </c>
      <c r="U44" s="380"/>
      <c r="V44" s="385"/>
      <c r="W44" s="369"/>
      <c r="X44" s="388">
        <v>-500</v>
      </c>
      <c r="Y44" s="369"/>
      <c r="Z44" s="376">
        <f t="shared" si="3"/>
        <v>500</v>
      </c>
      <c r="AA44" s="377"/>
    </row>
    <row r="45" spans="16:27" x14ac:dyDescent="0.2">
      <c r="P45" s="387"/>
      <c r="R45" t="s">
        <v>98</v>
      </c>
      <c r="S45" s="388">
        <v>-250</v>
      </c>
      <c r="T45" s="366">
        <f t="shared" si="2"/>
        <v>-20.833333333333332</v>
      </c>
      <c r="U45" s="380"/>
      <c r="V45" s="385">
        <v>-68.849999999999994</v>
      </c>
      <c r="W45" s="369"/>
      <c r="X45" s="388">
        <v>-250</v>
      </c>
      <c r="Y45" s="369"/>
      <c r="Z45" s="376">
        <f t="shared" si="3"/>
        <v>181.15</v>
      </c>
      <c r="AA45" s="377"/>
    </row>
    <row r="46" spans="16:27" x14ac:dyDescent="0.2">
      <c r="P46" s="387"/>
      <c r="R46" t="s">
        <v>217</v>
      </c>
      <c r="S46" s="389"/>
      <c r="T46" s="366">
        <f t="shared" si="2"/>
        <v>0</v>
      </c>
      <c r="U46" s="380"/>
      <c r="V46" s="390"/>
      <c r="W46" s="369"/>
      <c r="X46" s="389"/>
      <c r="Y46" s="369"/>
      <c r="Z46" s="376">
        <f t="shared" si="3"/>
        <v>0</v>
      </c>
      <c r="AA46" s="377"/>
    </row>
    <row r="47" spans="16:27" ht="17" thickBot="1" x14ac:dyDescent="0.25">
      <c r="S47" s="378">
        <f>SUM(S37:S46)</f>
        <v>-4900</v>
      </c>
      <c r="T47" s="379">
        <f>SUM(T37:T46)</f>
        <v>-408.33333333333337</v>
      </c>
      <c r="U47" s="380"/>
      <c r="V47" s="381">
        <f>SUM(V37:V46)</f>
        <v>-1916.35</v>
      </c>
      <c r="W47" s="369"/>
      <c r="X47" s="378">
        <f>SUM(X37:X46)</f>
        <v>-4900</v>
      </c>
      <c r="Y47" s="369"/>
      <c r="Z47" s="382">
        <f>SUM(Z37:Z46)</f>
        <v>2983.65</v>
      </c>
      <c r="AA47" s="383"/>
    </row>
    <row r="48" spans="16:27" ht="17" thickBot="1" x14ac:dyDescent="0.25">
      <c r="S48" s="391"/>
      <c r="T48" s="392"/>
      <c r="U48" s="393"/>
      <c r="V48" s="394"/>
      <c r="W48" s="394"/>
      <c r="X48" s="394"/>
      <c r="Y48" s="394"/>
      <c r="Z48" s="395"/>
      <c r="AA48" s="396"/>
    </row>
    <row r="49" spans="16:36" ht="18" thickTop="1" thickBot="1" x14ac:dyDescent="0.25">
      <c r="S49" s="391"/>
      <c r="T49" s="392"/>
      <c r="U49" s="397"/>
      <c r="V49" s="369"/>
      <c r="W49" s="369"/>
      <c r="X49" s="369"/>
      <c r="Y49" s="369"/>
      <c r="Z49" s="398"/>
      <c r="AA49" s="398"/>
    </row>
    <row r="50" spans="16:36" ht="18" thickTop="1" thickBot="1" x14ac:dyDescent="0.25">
      <c r="Q50" s="272"/>
      <c r="R50" s="272"/>
      <c r="S50" s="272"/>
      <c r="T50" s="399"/>
      <c r="U50" s="400"/>
      <c r="V50" s="401"/>
      <c r="W50" s="401"/>
      <c r="X50" s="401"/>
      <c r="Y50" s="401"/>
      <c r="Z50" s="401"/>
      <c r="AA50" s="402"/>
      <c r="AB50" s="272"/>
    </row>
    <row r="51" spans="16:36" ht="34" x14ac:dyDescent="0.2">
      <c r="S51" s="365" t="s">
        <v>189</v>
      </c>
      <c r="T51" s="366"/>
      <c r="U51" s="403"/>
      <c r="V51" s="368" t="s">
        <v>190</v>
      </c>
      <c r="W51" s="404"/>
      <c r="X51" s="365" t="s">
        <v>189</v>
      </c>
      <c r="Y51" s="405"/>
      <c r="Z51" s="371" t="s">
        <v>208</v>
      </c>
      <c r="AA51" s="406"/>
    </row>
    <row r="52" spans="16:36" x14ac:dyDescent="0.2">
      <c r="P52" s="387"/>
      <c r="Q52" s="5" t="s">
        <v>198</v>
      </c>
      <c r="S52" s="388"/>
      <c r="T52" s="392"/>
      <c r="U52" s="407"/>
      <c r="V52" s="408"/>
      <c r="W52" s="404"/>
      <c r="X52" s="388"/>
      <c r="Y52" s="404"/>
      <c r="Z52" s="409"/>
      <c r="AA52" s="410"/>
    </row>
    <row r="53" spans="16:36" x14ac:dyDescent="0.2">
      <c r="P53" s="387"/>
      <c r="R53" t="s">
        <v>218</v>
      </c>
      <c r="S53" s="388">
        <v>-900</v>
      </c>
      <c r="T53" s="366">
        <f t="shared" ref="T53:T59" si="4">S53/12</f>
        <v>-75</v>
      </c>
      <c r="U53" s="407"/>
      <c r="V53" s="408">
        <v>-615</v>
      </c>
      <c r="W53" s="404"/>
      <c r="X53" s="388">
        <v>-900</v>
      </c>
      <c r="Y53" s="404"/>
      <c r="Z53" s="409">
        <f t="shared" ref="Z53:Z61" si="5">V53-X53</f>
        <v>285</v>
      </c>
      <c r="AA53" s="410"/>
    </row>
    <row r="54" spans="16:36" x14ac:dyDescent="0.2">
      <c r="P54" s="387"/>
      <c r="R54" t="s">
        <v>4</v>
      </c>
      <c r="S54" s="388">
        <v>-750</v>
      </c>
      <c r="T54" s="366">
        <f t="shared" si="4"/>
        <v>-62.5</v>
      </c>
      <c r="U54" s="407"/>
      <c r="V54" s="408">
        <v>-659</v>
      </c>
      <c r="W54" s="404"/>
      <c r="X54" s="388">
        <v>-750</v>
      </c>
      <c r="Y54" s="404"/>
      <c r="Z54" s="409">
        <f t="shared" si="5"/>
        <v>91</v>
      </c>
      <c r="AA54" s="410"/>
    </row>
    <row r="55" spans="16:36" ht="16" customHeight="1" x14ac:dyDescent="0.2">
      <c r="P55" s="387"/>
      <c r="R55" t="s">
        <v>219</v>
      </c>
      <c r="S55" s="388">
        <v>-125</v>
      </c>
      <c r="T55" s="366">
        <f t="shared" si="4"/>
        <v>-10.416666666666666</v>
      </c>
      <c r="U55" s="407"/>
      <c r="V55" s="408">
        <v>-125</v>
      </c>
      <c r="W55" s="404"/>
      <c r="X55" s="388">
        <v>-125</v>
      </c>
      <c r="Y55" s="404"/>
      <c r="Z55" s="409">
        <f>V55-X55</f>
        <v>0</v>
      </c>
      <c r="AA55" s="410"/>
    </row>
    <row r="56" spans="16:36" x14ac:dyDescent="0.2">
      <c r="P56" s="387"/>
      <c r="R56" t="s">
        <v>220</v>
      </c>
      <c r="S56" s="388">
        <v>-120</v>
      </c>
      <c r="T56" s="366">
        <f t="shared" si="4"/>
        <v>-10</v>
      </c>
      <c r="U56" s="407"/>
      <c r="V56" s="408">
        <f>-107.5-69.58</f>
        <v>-177.07999999999998</v>
      </c>
      <c r="W56" s="404"/>
      <c r="X56" s="388">
        <v>-120</v>
      </c>
      <c r="Y56" s="404"/>
      <c r="Z56" s="409">
        <f>V56-X56</f>
        <v>-57.079999999999984</v>
      </c>
      <c r="AA56" s="410"/>
    </row>
    <row r="57" spans="16:36" x14ac:dyDescent="0.2">
      <c r="P57" s="387"/>
      <c r="R57" t="s">
        <v>221</v>
      </c>
      <c r="S57" s="388">
        <v>-350</v>
      </c>
      <c r="T57" s="366">
        <f t="shared" si="4"/>
        <v>-29.166666666666668</v>
      </c>
      <c r="U57" s="407"/>
      <c r="V57" s="408">
        <v>-331.24</v>
      </c>
      <c r="W57" s="404"/>
      <c r="X57" s="388">
        <v>-350</v>
      </c>
      <c r="Y57" s="404"/>
      <c r="Z57" s="409">
        <f>V57-X57</f>
        <v>18.759999999999991</v>
      </c>
      <c r="AA57" s="410"/>
    </row>
    <row r="58" spans="16:36" x14ac:dyDescent="0.2">
      <c r="P58" s="387"/>
      <c r="R58" t="s">
        <v>222</v>
      </c>
      <c r="S58" s="388">
        <v>-2000</v>
      </c>
      <c r="T58" s="366">
        <f t="shared" si="4"/>
        <v>-166.66666666666666</v>
      </c>
      <c r="U58" s="407"/>
      <c r="V58" s="408"/>
      <c r="W58" s="404"/>
      <c r="X58" s="388">
        <v>-2000</v>
      </c>
      <c r="Y58" s="404"/>
      <c r="Z58" s="409">
        <f>V58-X58</f>
        <v>2000</v>
      </c>
      <c r="AA58" s="410"/>
    </row>
    <row r="59" spans="16:36" x14ac:dyDescent="0.2">
      <c r="P59" s="387"/>
      <c r="R59" t="s">
        <v>223</v>
      </c>
      <c r="S59" s="389">
        <v>-200</v>
      </c>
      <c r="T59" s="366">
        <f t="shared" si="4"/>
        <v>-16.666666666666668</v>
      </c>
      <c r="U59" s="407"/>
      <c r="V59" s="411">
        <f>-7.65-6-35-14.25-36-30.67-1</f>
        <v>-130.57</v>
      </c>
      <c r="W59" s="404"/>
      <c r="X59" s="389">
        <v>-200</v>
      </c>
      <c r="Y59" s="404"/>
      <c r="Z59" s="409">
        <f>V59-X59</f>
        <v>69.430000000000007</v>
      </c>
      <c r="AA59" s="410"/>
    </row>
    <row r="60" spans="16:36" ht="17" thickBot="1" x14ac:dyDescent="0.25">
      <c r="S60" s="378">
        <f>SUM(S52:S59)</f>
        <v>-4445</v>
      </c>
      <c r="T60" s="379">
        <f>SUM(T52:T59)</f>
        <v>-370.41666666666669</v>
      </c>
      <c r="U60" s="407"/>
      <c r="V60" s="412">
        <f>SUM(V52:V59)</f>
        <v>-2037.8899999999999</v>
      </c>
      <c r="W60" s="404"/>
      <c r="X60" s="378">
        <f>SUM(X52:X59)</f>
        <v>-4445</v>
      </c>
      <c r="Y60" s="404"/>
      <c r="Z60" s="413">
        <f>SUM(Z52:Z59)</f>
        <v>2407.1099999999997</v>
      </c>
      <c r="AA60" s="414"/>
    </row>
    <row r="61" spans="16:36" x14ac:dyDescent="0.2">
      <c r="Q61" s="5" t="s">
        <v>199</v>
      </c>
      <c r="S61" s="388"/>
      <c r="T61" s="392"/>
      <c r="U61" s="407"/>
      <c r="V61" s="408"/>
      <c r="W61" s="404"/>
      <c r="X61" s="388"/>
      <c r="Y61" s="404"/>
      <c r="Z61" s="409">
        <f t="shared" si="5"/>
        <v>0</v>
      </c>
      <c r="AA61" s="410"/>
    </row>
    <row r="62" spans="16:36" s="76" customFormat="1" ht="16" customHeight="1" collapsed="1" x14ac:dyDescent="0.2">
      <c r="P62" s="415"/>
      <c r="Q62" s="1"/>
      <c r="R62" s="76" t="s">
        <v>224</v>
      </c>
      <c r="S62" s="416">
        <v>-70</v>
      </c>
      <c r="T62" s="392"/>
      <c r="U62" s="417"/>
      <c r="V62" s="418">
        <v>-60</v>
      </c>
      <c r="W62" s="419"/>
      <c r="X62" s="416">
        <v>-70</v>
      </c>
      <c r="Y62" s="420"/>
      <c r="Z62" s="409">
        <f>V62-X62</f>
        <v>10</v>
      </c>
      <c r="AA62" s="410"/>
      <c r="AC62" s="39"/>
      <c r="AD62" s="39"/>
      <c r="AE62" s="39"/>
      <c r="AF62" s="39"/>
      <c r="AG62" s="39"/>
      <c r="AH62" s="39"/>
      <c r="AI62" s="273"/>
      <c r="AJ62" s="39"/>
    </row>
    <row r="63" spans="16:36" s="76" customFormat="1" ht="16" customHeight="1" x14ac:dyDescent="0.2">
      <c r="P63" s="415"/>
      <c r="Q63" s="1"/>
      <c r="R63" t="s">
        <v>266</v>
      </c>
      <c r="S63" s="421">
        <v>-80</v>
      </c>
      <c r="T63" s="392"/>
      <c r="U63" s="417"/>
      <c r="V63" s="422">
        <v>-100</v>
      </c>
      <c r="W63" s="419"/>
      <c r="X63" s="421">
        <v>-80</v>
      </c>
      <c r="Y63" s="420"/>
      <c r="Z63" s="409">
        <f>V63-X63</f>
        <v>-20</v>
      </c>
      <c r="AA63" s="410"/>
      <c r="AC63" s="39"/>
      <c r="AD63" s="39"/>
      <c r="AE63" s="39"/>
      <c r="AF63" s="39"/>
      <c r="AG63" s="39"/>
      <c r="AH63" s="39"/>
      <c r="AI63" s="273"/>
      <c r="AJ63" s="39"/>
    </row>
    <row r="64" spans="16:36" s="76" customFormat="1" ht="16" customHeight="1" thickBot="1" x14ac:dyDescent="0.25">
      <c r="P64" s="415"/>
      <c r="Q64" s="1"/>
      <c r="S64" s="423">
        <f>SUM(S62:S63)</f>
        <v>-150</v>
      </c>
      <c r="T64" s="392"/>
      <c r="U64" s="417"/>
      <c r="V64" s="424">
        <f>SUM(V62:V63)</f>
        <v>-160</v>
      </c>
      <c r="W64" s="419"/>
      <c r="X64" s="423">
        <f>SUM(X62:X63)</f>
        <v>-150</v>
      </c>
      <c r="Y64" s="420"/>
      <c r="Z64" s="425">
        <f>SUM(Z62:Z63)</f>
        <v>-10</v>
      </c>
      <c r="AA64" s="410"/>
      <c r="AC64" s="39"/>
      <c r="AD64" s="39"/>
      <c r="AE64" s="39"/>
      <c r="AF64" s="39"/>
      <c r="AG64" s="39"/>
      <c r="AH64" s="39"/>
      <c r="AI64" s="273"/>
      <c r="AJ64" s="39"/>
    </row>
    <row r="65" spans="16:39" s="76" customFormat="1" ht="16" customHeight="1" x14ac:dyDescent="0.2">
      <c r="P65" s="415"/>
      <c r="Q65" s="1" t="s">
        <v>225</v>
      </c>
      <c r="S65" s="416"/>
      <c r="T65" s="392"/>
      <c r="U65" s="417"/>
      <c r="V65" s="418"/>
      <c r="W65" s="419"/>
      <c r="X65" s="416"/>
      <c r="Y65" s="420"/>
      <c r="Z65" s="409"/>
      <c r="AA65" s="410"/>
      <c r="AC65" s="39"/>
      <c r="AD65" s="39"/>
      <c r="AE65" s="39"/>
      <c r="AF65" s="39"/>
      <c r="AG65" s="39"/>
      <c r="AH65" s="39"/>
      <c r="AI65" s="273"/>
      <c r="AJ65" s="39"/>
    </row>
    <row r="66" spans="16:39" s="76" customFormat="1" ht="16" customHeight="1" x14ac:dyDescent="0.2">
      <c r="P66" s="415"/>
      <c r="Q66" s="1"/>
      <c r="R66" s="76" t="s">
        <v>147</v>
      </c>
      <c r="S66" s="426">
        <v>0</v>
      </c>
      <c r="T66" s="427"/>
      <c r="U66" s="417"/>
      <c r="V66" s="408">
        <v>-1790</v>
      </c>
      <c r="W66" s="419"/>
      <c r="X66" s="426">
        <v>0</v>
      </c>
      <c r="Y66" s="420"/>
      <c r="Z66" s="409">
        <f>V66-X66</f>
        <v>-1790</v>
      </c>
      <c r="AA66" s="410"/>
      <c r="AC66" s="39"/>
      <c r="AD66" s="39"/>
      <c r="AE66" s="39"/>
      <c r="AF66" s="39"/>
      <c r="AG66" s="39"/>
      <c r="AH66" s="39"/>
      <c r="AI66" s="273"/>
      <c r="AJ66" s="39"/>
    </row>
    <row r="67" spans="16:39" s="76" customFormat="1" ht="16" customHeight="1" x14ac:dyDescent="0.2">
      <c r="P67" s="415"/>
      <c r="Q67" s="1"/>
      <c r="R67" s="76" t="s">
        <v>226</v>
      </c>
      <c r="S67" s="426">
        <v>0</v>
      </c>
      <c r="T67" s="427"/>
      <c r="U67" s="417"/>
      <c r="V67" s="408"/>
      <c r="W67" s="419"/>
      <c r="X67" s="426">
        <v>0</v>
      </c>
      <c r="Y67" s="420"/>
      <c r="Z67" s="409">
        <f>V67-X67</f>
        <v>0</v>
      </c>
      <c r="AA67" s="410"/>
      <c r="AC67" s="39"/>
      <c r="AD67" s="39"/>
      <c r="AE67" s="39"/>
      <c r="AF67" s="39"/>
      <c r="AG67" s="39"/>
      <c r="AH67" s="39"/>
      <c r="AI67" s="273"/>
      <c r="AJ67" s="39"/>
    </row>
    <row r="68" spans="16:39" s="76" customFormat="1" ht="16" customHeight="1" x14ac:dyDescent="0.2">
      <c r="P68" s="415"/>
      <c r="Q68" s="1"/>
      <c r="S68" s="428">
        <f>SUM(S66:S67)</f>
        <v>0</v>
      </c>
      <c r="T68" s="429"/>
      <c r="U68" s="417"/>
      <c r="V68" s="430">
        <f>SUM(V66:V67)</f>
        <v>-1790</v>
      </c>
      <c r="W68" s="419"/>
      <c r="X68" s="428">
        <f>SUM(X66:X67)</f>
        <v>0</v>
      </c>
      <c r="Y68" s="420"/>
      <c r="Z68" s="431">
        <f>SUM(Z66:Z67)</f>
        <v>-1790</v>
      </c>
      <c r="AA68" s="414"/>
      <c r="AC68" s="39"/>
      <c r="AD68" s="39"/>
      <c r="AE68" s="39"/>
      <c r="AF68" s="39"/>
      <c r="AG68" s="39"/>
      <c r="AH68" s="39"/>
      <c r="AI68" s="273"/>
      <c r="AJ68" s="39"/>
      <c r="AK68" t="s">
        <v>227</v>
      </c>
      <c r="AL68" s="432">
        <v>3000</v>
      </c>
      <c r="AM68" t="s">
        <v>228</v>
      </c>
    </row>
    <row r="69" spans="16:39" s="76" customFormat="1" ht="16" customHeight="1" x14ac:dyDescent="0.2">
      <c r="P69" s="415"/>
      <c r="Q69" s="1"/>
      <c r="R69" s="76" t="s">
        <v>229</v>
      </c>
      <c r="S69" s="433">
        <v>0</v>
      </c>
      <c r="T69" s="427"/>
      <c r="U69" s="417"/>
      <c r="V69" s="411"/>
      <c r="W69" s="419"/>
      <c r="X69" s="433">
        <v>0</v>
      </c>
      <c r="Y69" s="420"/>
      <c r="Z69" s="409">
        <f>V69-X69</f>
        <v>0</v>
      </c>
      <c r="AA69" s="410"/>
      <c r="AC69" s="39"/>
      <c r="AD69" s="39"/>
      <c r="AE69" s="39"/>
      <c r="AF69" s="39"/>
      <c r="AG69" s="39"/>
      <c r="AH69" s="39"/>
      <c r="AI69" s="273"/>
      <c r="AJ69" s="39"/>
      <c r="AK69" t="s">
        <v>227</v>
      </c>
      <c r="AL69" s="434">
        <v>0.04</v>
      </c>
      <c r="AM69"/>
    </row>
    <row r="70" spans="16:39" s="76" customFormat="1" ht="16" customHeight="1" thickBot="1" x14ac:dyDescent="0.25">
      <c r="P70" s="415"/>
      <c r="Q70" s="1"/>
      <c r="S70" s="435">
        <f>SUM(S68:S69)</f>
        <v>0</v>
      </c>
      <c r="T70" s="436"/>
      <c r="U70" s="417"/>
      <c r="V70" s="437">
        <f>SUM(V68:V69)</f>
        <v>-1790</v>
      </c>
      <c r="W70" s="419"/>
      <c r="X70" s="435">
        <f>SUM(X68:X69)</f>
        <v>0</v>
      </c>
      <c r="Y70" s="420"/>
      <c r="Z70" s="425">
        <f>SUM(Z68:Z69)</f>
        <v>-1790</v>
      </c>
      <c r="AA70" s="410"/>
      <c r="AC70" s="39"/>
      <c r="AD70" s="39"/>
      <c r="AE70" s="39"/>
      <c r="AF70" s="39"/>
      <c r="AG70" s="39"/>
      <c r="AH70" s="39"/>
      <c r="AI70" s="273"/>
      <c r="AJ70" s="39"/>
      <c r="AK70" t="s">
        <v>227</v>
      </c>
      <c r="AL70" s="434">
        <v>0.04</v>
      </c>
      <c r="AM70"/>
    </row>
    <row r="71" spans="16:39" ht="17" thickBot="1" x14ac:dyDescent="0.25">
      <c r="U71" s="438"/>
      <c r="V71" s="439"/>
      <c r="W71" s="439"/>
      <c r="X71" s="439"/>
      <c r="Y71" s="439"/>
      <c r="Z71" s="439"/>
      <c r="AA71" s="440"/>
    </row>
    <row r="72" spans="16:39" ht="18" thickTop="1" thickBot="1" x14ac:dyDescent="0.25"/>
    <row r="73" spans="16:39" ht="17" thickTop="1" x14ac:dyDescent="0.2">
      <c r="AB73" s="441" t="s">
        <v>230</v>
      </c>
      <c r="AC73" s="442" t="s">
        <v>231</v>
      </c>
      <c r="AD73" s="442" t="s">
        <v>232</v>
      </c>
      <c r="AE73" s="442" t="s">
        <v>233</v>
      </c>
      <c r="AF73" s="442" t="s">
        <v>234</v>
      </c>
      <c r="AG73" s="443" t="s">
        <v>235</v>
      </c>
      <c r="AH73" s="287"/>
      <c r="AI73" s="444" t="s">
        <v>236</v>
      </c>
      <c r="AJ73" s="287"/>
    </row>
    <row r="74" spans="16:39" x14ac:dyDescent="0.2">
      <c r="AB74" s="445" t="s">
        <v>0</v>
      </c>
      <c r="AC74" s="446">
        <f>F10</f>
        <v>12000</v>
      </c>
      <c r="AD74" s="446">
        <f>AC74+$AL$68</f>
        <v>15000</v>
      </c>
      <c r="AE74" s="446">
        <f>AD74+$AL$68</f>
        <v>18000</v>
      </c>
      <c r="AF74" s="446">
        <f>-AF75</f>
        <v>15719.974400000001</v>
      </c>
      <c r="AG74" s="447">
        <f>-AG75-AG76</f>
        <v>17518.631936000002</v>
      </c>
      <c r="AH74" s="446"/>
      <c r="AI74" s="269" t="s">
        <v>237</v>
      </c>
      <c r="AJ74" s="446"/>
    </row>
    <row r="75" spans="16:39" x14ac:dyDescent="0.2">
      <c r="AB75" s="445" t="s">
        <v>238</v>
      </c>
      <c r="AC75" s="446">
        <f>F20-F18</f>
        <v>-13975</v>
      </c>
      <c r="AD75" s="446">
        <f>AC75*(1+$AL$69)</f>
        <v>-14534</v>
      </c>
      <c r="AE75" s="446">
        <f>AD75*(1+$AL$69)</f>
        <v>-15115.36</v>
      </c>
      <c r="AF75" s="446">
        <f>AE75*(1+$AL$69)</f>
        <v>-15719.974400000001</v>
      </c>
      <c r="AG75" s="447">
        <f>AF75*(1+$AL$69)</f>
        <v>-16348.773376000001</v>
      </c>
      <c r="AH75" s="446"/>
      <c r="AI75" s="269" t="s">
        <v>239</v>
      </c>
      <c r="AJ75" s="446"/>
    </row>
    <row r="76" spans="16:39" x14ac:dyDescent="0.2">
      <c r="AB76" s="445" t="s">
        <v>240</v>
      </c>
      <c r="AC76" s="446">
        <f>F18</f>
        <v>-1000</v>
      </c>
      <c r="AD76" s="446"/>
      <c r="AE76" s="446"/>
      <c r="AF76" s="446"/>
      <c r="AG76" s="447">
        <f>AC76*(1+AL70)*(1+AL70)*(1+AL70)*(1+AL70)</f>
        <v>-1169.8585600000004</v>
      </c>
      <c r="AH76" s="446"/>
      <c r="AI76" s="273" t="s">
        <v>241</v>
      </c>
      <c r="AJ76" s="446"/>
    </row>
    <row r="77" spans="16:39" ht="17" thickBot="1" x14ac:dyDescent="0.25">
      <c r="AB77" s="445" t="s">
        <v>242</v>
      </c>
      <c r="AC77" s="448">
        <f>SUM(AC74:AC76)</f>
        <v>-2975</v>
      </c>
      <c r="AD77" s="448">
        <f t="shared" ref="AD77:AG77" si="6">SUM(AD74:AD76)</f>
        <v>466</v>
      </c>
      <c r="AE77" s="448">
        <f t="shared" si="6"/>
        <v>2884.6399999999994</v>
      </c>
      <c r="AF77" s="448">
        <f t="shared" si="6"/>
        <v>0</v>
      </c>
      <c r="AG77" s="449">
        <f t="shared" si="6"/>
        <v>0</v>
      </c>
      <c r="AH77" s="446"/>
      <c r="AI77" s="269" t="s">
        <v>243</v>
      </c>
      <c r="AJ77" s="446"/>
    </row>
    <row r="78" spans="16:39" x14ac:dyDescent="0.2">
      <c r="AB78" s="445" t="s">
        <v>244</v>
      </c>
      <c r="AC78" s="446">
        <f>$F$8+AC77</f>
        <v>11650</v>
      </c>
      <c r="AD78" s="446">
        <f>AC78+AD77</f>
        <v>12116</v>
      </c>
      <c r="AE78" s="446">
        <f t="shared" ref="AE78:AG78" si="7">AD78+AE77</f>
        <v>15000.64</v>
      </c>
      <c r="AF78" s="446">
        <f t="shared" si="7"/>
        <v>15000.64</v>
      </c>
      <c r="AG78" s="447">
        <f t="shared" si="7"/>
        <v>15000.64</v>
      </c>
      <c r="AH78" s="446"/>
      <c r="AI78" s="269" t="s">
        <v>245</v>
      </c>
      <c r="AJ78" s="446"/>
    </row>
    <row r="79" spans="16:39" x14ac:dyDescent="0.2">
      <c r="AB79" s="445" t="s">
        <v>246</v>
      </c>
      <c r="AC79" s="450">
        <f>(AC74-8000)/$M$25</f>
        <v>7.7519379844961236</v>
      </c>
      <c r="AD79" s="450">
        <f>(AD74-AC74)/$M$25</f>
        <v>5.8139534883720927</v>
      </c>
      <c r="AE79" s="450">
        <f t="shared" ref="AE79:AG79" si="8">(AE74-AD74)/$M$25</f>
        <v>5.8139534883720927</v>
      </c>
      <c r="AF79" s="450">
        <f t="shared" si="8"/>
        <v>-4.4186542635658892</v>
      </c>
      <c r="AG79" s="451">
        <f t="shared" si="8"/>
        <v>3.4857704186046523</v>
      </c>
      <c r="AH79" s="450"/>
      <c r="AI79" s="269"/>
      <c r="AJ79" s="446"/>
    </row>
    <row r="80" spans="16:39" ht="17" thickBot="1" x14ac:dyDescent="0.25">
      <c r="AB80" s="452" t="s">
        <v>247</v>
      </c>
      <c r="AC80" s="453">
        <f>AC78/AC74</f>
        <v>0.97083333333333333</v>
      </c>
      <c r="AD80" s="453">
        <f t="shared" ref="AD80:AG80" si="9">AD78/AD74</f>
        <v>0.8077333333333333</v>
      </c>
      <c r="AE80" s="453">
        <f t="shared" si="9"/>
        <v>0.83336888888888883</v>
      </c>
      <c r="AF80" s="453">
        <f t="shared" si="9"/>
        <v>0.95424073973046664</v>
      </c>
      <c r="AG80" s="454">
        <f t="shared" si="9"/>
        <v>0.85626777563460066</v>
      </c>
      <c r="AH80" s="455"/>
      <c r="AI80" s="456"/>
      <c r="AJ80" s="457"/>
    </row>
    <row r="81" spans="5:46" ht="18" thickTop="1" thickBot="1" x14ac:dyDescent="0.25">
      <c r="AQ81" s="458"/>
      <c r="AR81" s="458"/>
      <c r="AS81" s="458"/>
      <c r="AT81" s="458"/>
    </row>
    <row r="82" spans="5:46" ht="17" thickTop="1" x14ac:dyDescent="0.2">
      <c r="AB82" s="441" t="s">
        <v>248</v>
      </c>
      <c r="AC82" s="442" t="s">
        <v>231</v>
      </c>
      <c r="AD82" s="442" t="s">
        <v>232</v>
      </c>
      <c r="AE82" s="442" t="s">
        <v>233</v>
      </c>
      <c r="AF82" s="442" t="s">
        <v>234</v>
      </c>
      <c r="AG82" s="443" t="s">
        <v>235</v>
      </c>
      <c r="AH82" s="287"/>
      <c r="AI82" s="444" t="s">
        <v>236</v>
      </c>
      <c r="AJ82" s="287"/>
    </row>
    <row r="83" spans="5:46" x14ac:dyDescent="0.2">
      <c r="AB83" s="445" t="s">
        <v>0</v>
      </c>
      <c r="AC83" s="446">
        <v>10000</v>
      </c>
      <c r="AD83" s="446">
        <v>12000</v>
      </c>
      <c r="AE83" s="446">
        <v>14000</v>
      </c>
      <c r="AF83" s="446">
        <v>16000</v>
      </c>
      <c r="AG83" s="447">
        <v>18000</v>
      </c>
      <c r="AH83" s="446"/>
      <c r="AI83" s="269" t="s">
        <v>249</v>
      </c>
      <c r="AJ83" s="446"/>
    </row>
    <row r="84" spans="5:46" x14ac:dyDescent="0.2">
      <c r="AB84" s="445" t="s">
        <v>238</v>
      </c>
      <c r="AC84" s="446">
        <f>AC75</f>
        <v>-13975</v>
      </c>
      <c r="AD84" s="446">
        <f>AC84*(1+$AL$69)</f>
        <v>-14534</v>
      </c>
      <c r="AE84" s="446">
        <f t="shared" ref="AE84:AG84" si="10">AD84*(1+$AL$69)</f>
        <v>-15115.36</v>
      </c>
      <c r="AF84" s="446">
        <f t="shared" si="10"/>
        <v>-15719.974400000001</v>
      </c>
      <c r="AG84" s="447">
        <f t="shared" si="10"/>
        <v>-16348.773376000001</v>
      </c>
      <c r="AH84" s="446"/>
      <c r="AI84" s="269" t="s">
        <v>239</v>
      </c>
      <c r="AJ84" s="446"/>
    </row>
    <row r="85" spans="5:46" x14ac:dyDescent="0.2">
      <c r="AB85" s="445" t="s">
        <v>240</v>
      </c>
      <c r="AC85" s="446">
        <f t="shared" ref="AC85:AG85" si="11">AC76</f>
        <v>-1000</v>
      </c>
      <c r="AD85" s="446">
        <f t="shared" si="11"/>
        <v>0</v>
      </c>
      <c r="AE85" s="446">
        <f t="shared" si="11"/>
        <v>0</v>
      </c>
      <c r="AF85" s="446">
        <f t="shared" si="11"/>
        <v>0</v>
      </c>
      <c r="AG85" s="447">
        <f t="shared" si="11"/>
        <v>-1169.8585600000004</v>
      </c>
      <c r="AH85" s="446"/>
      <c r="AI85" s="269" t="s">
        <v>243</v>
      </c>
      <c r="AJ85" s="446"/>
    </row>
    <row r="86" spans="5:46" ht="17" thickBot="1" x14ac:dyDescent="0.25">
      <c r="AB86" s="445" t="s">
        <v>242</v>
      </c>
      <c r="AC86" s="448">
        <f>SUM(AC83:AC85)</f>
        <v>-4975</v>
      </c>
      <c r="AD86" s="448">
        <f t="shared" ref="AD86:AG86" si="12">SUM(AD83:AD85)</f>
        <v>-2534</v>
      </c>
      <c r="AE86" s="448">
        <f t="shared" si="12"/>
        <v>-1115.3600000000006</v>
      </c>
      <c r="AF86" s="448">
        <f t="shared" si="12"/>
        <v>280.02559999999903</v>
      </c>
      <c r="AG86" s="449">
        <f t="shared" si="12"/>
        <v>481.36806399999864</v>
      </c>
      <c r="AH86" s="446"/>
      <c r="AI86" s="269" t="s">
        <v>245</v>
      </c>
      <c r="AJ86" s="446"/>
    </row>
    <row r="87" spans="5:46" s="76" customFormat="1" ht="17" customHeight="1" x14ac:dyDescent="0.2">
      <c r="E87" s="459"/>
      <c r="F87" s="459"/>
      <c r="I87" s="459"/>
      <c r="J87" s="459"/>
      <c r="K87" s="459"/>
      <c r="L87" s="460"/>
      <c r="M87" s="460"/>
      <c r="N87" s="460"/>
      <c r="O87" s="460"/>
      <c r="P87" s="460"/>
      <c r="Q87" s="1"/>
      <c r="T87" s="39"/>
      <c r="AB87" s="445" t="s">
        <v>244</v>
      </c>
      <c r="AC87" s="446">
        <f>$F$8+AC86</f>
        <v>9650</v>
      </c>
      <c r="AD87" s="446">
        <f>AC87+AD86</f>
        <v>7116</v>
      </c>
      <c r="AE87" s="446">
        <f t="shared" ref="AE87:AG87" si="13">AD87+AE86</f>
        <v>6000.6399999999994</v>
      </c>
      <c r="AF87" s="446">
        <f t="shared" si="13"/>
        <v>6280.6655999999984</v>
      </c>
      <c r="AG87" s="447">
        <f t="shared" si="13"/>
        <v>6762.0336639999969</v>
      </c>
      <c r="AH87" s="446"/>
      <c r="AI87" s="269"/>
      <c r="AJ87" s="446"/>
    </row>
    <row r="88" spans="5:46" s="76" customFormat="1" ht="17" customHeight="1" x14ac:dyDescent="0.2">
      <c r="E88" s="459"/>
      <c r="F88" s="459"/>
      <c r="I88" s="459"/>
      <c r="J88" s="459"/>
      <c r="K88" s="459"/>
      <c r="L88" s="460"/>
      <c r="M88" s="460"/>
      <c r="N88" s="460"/>
      <c r="O88" s="460"/>
      <c r="P88" s="460"/>
      <c r="Q88" s="1"/>
      <c r="T88" s="39"/>
      <c r="AB88" s="445" t="s">
        <v>246</v>
      </c>
      <c r="AC88" s="450">
        <f>(AC83-8000)/$M$25</f>
        <v>3.8759689922480618</v>
      </c>
      <c r="AD88" s="450">
        <f>(AD83-AC83)/$M$25</f>
        <v>3.8759689922480618</v>
      </c>
      <c r="AE88" s="450">
        <f t="shared" ref="AE88:AG88" si="14">(AE83-AD83)/$M$25</f>
        <v>3.8759689922480618</v>
      </c>
      <c r="AF88" s="450">
        <f t="shared" si="14"/>
        <v>3.8759689922480618</v>
      </c>
      <c r="AG88" s="451">
        <f t="shared" si="14"/>
        <v>3.8759689922480618</v>
      </c>
      <c r="AH88" s="450"/>
      <c r="AI88" s="269"/>
      <c r="AJ88" s="446"/>
    </row>
    <row r="89" spans="5:46" ht="17" thickBot="1" x14ac:dyDescent="0.25">
      <c r="AB89" s="452" t="s">
        <v>247</v>
      </c>
      <c r="AC89" s="453">
        <f>AC87/AC83</f>
        <v>0.96499999999999997</v>
      </c>
      <c r="AD89" s="453">
        <f t="shared" ref="AD89:AG89" si="15">AD87/AD83</f>
        <v>0.59299999999999997</v>
      </c>
      <c r="AE89" s="453">
        <f t="shared" si="15"/>
        <v>0.42861714285714281</v>
      </c>
      <c r="AF89" s="453">
        <f t="shared" si="15"/>
        <v>0.39254159999999988</v>
      </c>
      <c r="AG89" s="454">
        <f t="shared" si="15"/>
        <v>0.37566853688888874</v>
      </c>
      <c r="AH89" s="455"/>
      <c r="AI89" s="456"/>
      <c r="AJ89" s="457"/>
    </row>
    <row r="90" spans="5:46" ht="18" thickTop="1" thickBot="1" x14ac:dyDescent="0.25"/>
    <row r="91" spans="5:46" ht="17" thickTop="1" x14ac:dyDescent="0.2">
      <c r="AB91" s="441" t="s">
        <v>250</v>
      </c>
      <c r="AC91" s="442" t="s">
        <v>231</v>
      </c>
      <c r="AD91" s="442" t="s">
        <v>232</v>
      </c>
      <c r="AE91" s="442" t="s">
        <v>233</v>
      </c>
      <c r="AF91" s="442" t="s">
        <v>234</v>
      </c>
      <c r="AG91" s="443" t="s">
        <v>235</v>
      </c>
      <c r="AH91" s="287"/>
      <c r="AI91" s="444" t="s">
        <v>236</v>
      </c>
      <c r="AJ91" s="287"/>
    </row>
    <row r="92" spans="5:46" x14ac:dyDescent="0.2">
      <c r="AB92" s="445" t="s">
        <v>0</v>
      </c>
      <c r="AC92" s="446">
        <f>AC83</f>
        <v>10000</v>
      </c>
      <c r="AD92" s="446">
        <f>AD83</f>
        <v>12000</v>
      </c>
      <c r="AE92" s="446">
        <f>AE83</f>
        <v>14000</v>
      </c>
      <c r="AF92" s="446">
        <f>AF83</f>
        <v>16000</v>
      </c>
      <c r="AG92" s="447">
        <f>AG83</f>
        <v>18000</v>
      </c>
      <c r="AH92" s="446"/>
      <c r="AI92" s="269" t="s">
        <v>249</v>
      </c>
      <c r="AJ92" s="446"/>
    </row>
    <row r="93" spans="5:46" x14ac:dyDescent="0.2">
      <c r="AB93" s="445" t="s">
        <v>238</v>
      </c>
      <c r="AC93" s="446">
        <f>AC84+1000</f>
        <v>-12975</v>
      </c>
      <c r="AD93" s="446">
        <f>AC93*(1+$AL$69)</f>
        <v>-13494</v>
      </c>
      <c r="AE93" s="446">
        <f t="shared" ref="AE93:AG93" si="16">AD93*(1+$AL$69)</f>
        <v>-14033.76</v>
      </c>
      <c r="AF93" s="446">
        <f t="shared" si="16"/>
        <v>-14595.110400000001</v>
      </c>
      <c r="AG93" s="447">
        <f t="shared" si="16"/>
        <v>-15178.914816000002</v>
      </c>
      <c r="AH93" s="446"/>
      <c r="AI93" s="269" t="s">
        <v>251</v>
      </c>
      <c r="AJ93" s="446"/>
    </row>
    <row r="94" spans="5:46" x14ac:dyDescent="0.2">
      <c r="AB94" s="445" t="s">
        <v>240</v>
      </c>
      <c r="AC94" s="446">
        <f>AC85</f>
        <v>-1000</v>
      </c>
      <c r="AD94" s="446">
        <f>AD85</f>
        <v>0</v>
      </c>
      <c r="AE94" s="446">
        <f>AE85</f>
        <v>0</v>
      </c>
      <c r="AF94" s="446">
        <f>AF85</f>
        <v>0</v>
      </c>
      <c r="AG94" s="447">
        <f>AG85</f>
        <v>-1169.8585600000004</v>
      </c>
      <c r="AH94" s="446"/>
      <c r="AI94" s="269" t="s">
        <v>243</v>
      </c>
      <c r="AJ94" s="446"/>
    </row>
    <row r="95" spans="5:46" ht="17" thickBot="1" x14ac:dyDescent="0.25">
      <c r="AB95" s="445" t="s">
        <v>242</v>
      </c>
      <c r="AC95" s="448">
        <f>SUM(AC92:AC94)</f>
        <v>-3975</v>
      </c>
      <c r="AD95" s="448">
        <f t="shared" ref="AD95:AG95" si="17">SUM(AD92:AD94)</f>
        <v>-1494</v>
      </c>
      <c r="AE95" s="448">
        <f t="shared" si="17"/>
        <v>-33.760000000000218</v>
      </c>
      <c r="AF95" s="448">
        <f t="shared" si="17"/>
        <v>1404.8895999999986</v>
      </c>
      <c r="AG95" s="449">
        <f t="shared" si="17"/>
        <v>1651.2266239999974</v>
      </c>
      <c r="AH95" s="446"/>
      <c r="AI95" s="269" t="s">
        <v>245</v>
      </c>
      <c r="AJ95" s="446"/>
    </row>
    <row r="96" spans="5:46" x14ac:dyDescent="0.2">
      <c r="AB96" s="445" t="s">
        <v>244</v>
      </c>
      <c r="AC96" s="446">
        <f>$F$8+AC95</f>
        <v>10650</v>
      </c>
      <c r="AD96" s="446">
        <f>AC96+AD95</f>
        <v>9156</v>
      </c>
      <c r="AE96" s="446">
        <f t="shared" ref="AE96:AG96" si="18">AD96+AE95</f>
        <v>9122.24</v>
      </c>
      <c r="AF96" s="446">
        <f t="shared" si="18"/>
        <v>10527.129599999998</v>
      </c>
      <c r="AG96" s="447">
        <f t="shared" si="18"/>
        <v>12178.356223999996</v>
      </c>
      <c r="AH96" s="446"/>
      <c r="AJ96" s="446"/>
    </row>
    <row r="97" spans="28:36" x14ac:dyDescent="0.2">
      <c r="AB97" s="445" t="s">
        <v>246</v>
      </c>
      <c r="AC97" s="450">
        <f>(AC92-8000)/$M$25</f>
        <v>3.8759689922480618</v>
      </c>
      <c r="AD97" s="450">
        <f>(AD92-AC92)/$M$25</f>
        <v>3.8759689922480618</v>
      </c>
      <c r="AE97" s="450">
        <f t="shared" ref="AE97:AG97" si="19">(AE92-AD92)/$M$25</f>
        <v>3.8759689922480618</v>
      </c>
      <c r="AF97" s="450">
        <f t="shared" si="19"/>
        <v>3.8759689922480618</v>
      </c>
      <c r="AG97" s="451">
        <f t="shared" si="19"/>
        <v>3.8759689922480618</v>
      </c>
      <c r="AH97" s="450"/>
      <c r="AI97" s="269"/>
      <c r="AJ97" s="446"/>
    </row>
    <row r="98" spans="28:36" ht="17" thickBot="1" x14ac:dyDescent="0.25">
      <c r="AB98" s="452" t="s">
        <v>247</v>
      </c>
      <c r="AC98" s="453">
        <f>AC96/AC92</f>
        <v>1.0649999999999999</v>
      </c>
      <c r="AD98" s="453">
        <f t="shared" ref="AD98:AG98" si="20">AD96/AD92</f>
        <v>0.76300000000000001</v>
      </c>
      <c r="AE98" s="453">
        <f t="shared" si="20"/>
        <v>0.65158857142857141</v>
      </c>
      <c r="AF98" s="453">
        <f t="shared" si="20"/>
        <v>0.65794559999999991</v>
      </c>
      <c r="AG98" s="454">
        <f t="shared" si="20"/>
        <v>0.67657534577777756</v>
      </c>
      <c r="AH98" s="455"/>
      <c r="AI98" s="456"/>
      <c r="AJ98" s="457"/>
    </row>
    <row r="99" spans="28:36" ht="18" thickTop="1" thickBot="1" x14ac:dyDescent="0.25"/>
    <row r="100" spans="28:36" ht="17" thickTop="1" x14ac:dyDescent="0.2">
      <c r="AB100" s="441" t="s">
        <v>252</v>
      </c>
      <c r="AC100" s="442" t="s">
        <v>231</v>
      </c>
      <c r="AD100" s="442" t="s">
        <v>232</v>
      </c>
      <c r="AE100" s="442" t="s">
        <v>233</v>
      </c>
      <c r="AF100" s="442" t="s">
        <v>234</v>
      </c>
      <c r="AG100" s="443" t="s">
        <v>235</v>
      </c>
      <c r="AH100" s="287"/>
      <c r="AI100" s="444" t="s">
        <v>236</v>
      </c>
      <c r="AJ100" s="287"/>
    </row>
    <row r="101" spans="28:36" x14ac:dyDescent="0.2">
      <c r="AB101" s="445" t="s">
        <v>0</v>
      </c>
      <c r="AC101" s="446">
        <f>AC92+1248</f>
        <v>11248</v>
      </c>
      <c r="AD101" s="446">
        <f>AD92+2534</f>
        <v>14534</v>
      </c>
      <c r="AE101" s="446">
        <f>AE92+1115</f>
        <v>15115</v>
      </c>
      <c r="AF101" s="446">
        <f>AF92-280</f>
        <v>15720</v>
      </c>
      <c r="AG101" s="447">
        <f>AG92-481</f>
        <v>17519</v>
      </c>
      <c r="AH101" s="446"/>
      <c r="AI101" s="269" t="s">
        <v>253</v>
      </c>
      <c r="AJ101" s="446"/>
    </row>
    <row r="102" spans="28:36" x14ac:dyDescent="0.2">
      <c r="AB102" s="445" t="s">
        <v>238</v>
      </c>
      <c r="AC102" s="446">
        <f t="shared" ref="AC102:AG103" si="21">AC93</f>
        <v>-12975</v>
      </c>
      <c r="AD102" s="446">
        <f t="shared" si="21"/>
        <v>-13494</v>
      </c>
      <c r="AE102" s="446">
        <f t="shared" si="21"/>
        <v>-14033.76</v>
      </c>
      <c r="AF102" s="446">
        <f t="shared" si="21"/>
        <v>-14595.110400000001</v>
      </c>
      <c r="AG102" s="447">
        <f t="shared" si="21"/>
        <v>-15178.914816000002</v>
      </c>
      <c r="AH102" s="446"/>
      <c r="AI102" s="269" t="s">
        <v>251</v>
      </c>
      <c r="AJ102" s="446"/>
    </row>
    <row r="103" spans="28:36" x14ac:dyDescent="0.2">
      <c r="AB103" s="445" t="s">
        <v>240</v>
      </c>
      <c r="AC103" s="446">
        <f t="shared" si="21"/>
        <v>-1000</v>
      </c>
      <c r="AD103" s="446">
        <f t="shared" si="21"/>
        <v>0</v>
      </c>
      <c r="AE103" s="446">
        <f t="shared" si="21"/>
        <v>0</v>
      </c>
      <c r="AF103" s="446">
        <f t="shared" si="21"/>
        <v>0</v>
      </c>
      <c r="AG103" s="447">
        <f t="shared" si="21"/>
        <v>-1169.8585600000004</v>
      </c>
      <c r="AH103" s="446"/>
      <c r="AI103" s="269" t="s">
        <v>243</v>
      </c>
      <c r="AJ103" s="446"/>
    </row>
    <row r="104" spans="28:36" ht="17" thickBot="1" x14ac:dyDescent="0.25">
      <c r="AB104" s="445" t="s">
        <v>242</v>
      </c>
      <c r="AC104" s="448">
        <f>SUM(AC101:AC103)</f>
        <v>-2727</v>
      </c>
      <c r="AD104" s="448">
        <f t="shared" ref="AD104:AG104" si="22">SUM(AD101:AD103)</f>
        <v>1040</v>
      </c>
      <c r="AE104" s="448">
        <f t="shared" si="22"/>
        <v>1081.2399999999998</v>
      </c>
      <c r="AF104" s="448">
        <f t="shared" si="22"/>
        <v>1124.8895999999986</v>
      </c>
      <c r="AG104" s="449">
        <f t="shared" si="22"/>
        <v>1170.2266239999974</v>
      </c>
      <c r="AH104" s="446"/>
      <c r="AI104" s="269" t="s">
        <v>245</v>
      </c>
      <c r="AJ104" s="446"/>
    </row>
    <row r="105" spans="28:36" x14ac:dyDescent="0.2">
      <c r="AB105" s="445" t="s">
        <v>244</v>
      </c>
      <c r="AC105" s="446">
        <f>$F$8+AC104</f>
        <v>11898</v>
      </c>
      <c r="AD105" s="446">
        <f>AC105+AD104</f>
        <v>12938</v>
      </c>
      <c r="AE105" s="446">
        <f t="shared" ref="AE105:AG105" si="23">AD105+AE104</f>
        <v>14019.24</v>
      </c>
      <c r="AF105" s="446">
        <f t="shared" si="23"/>
        <v>15144.129599999998</v>
      </c>
      <c r="AG105" s="447">
        <f t="shared" si="23"/>
        <v>16314.356223999996</v>
      </c>
      <c r="AH105" s="446"/>
      <c r="AI105" s="269"/>
      <c r="AJ105" s="446"/>
    </row>
    <row r="106" spans="28:36" x14ac:dyDescent="0.2">
      <c r="AB106" s="445" t="s">
        <v>246</v>
      </c>
      <c r="AC106" s="450">
        <f>(AC101-8000)/$M$25</f>
        <v>6.2945736434108523</v>
      </c>
      <c r="AD106" s="450">
        <f>(AD101-AC101)/$M$25</f>
        <v>6.3682170542635657</v>
      </c>
      <c r="AE106" s="450">
        <f t="shared" ref="AE106:AG106" si="24">(AE101-AD101)/$M$25</f>
        <v>1.125968992248062</v>
      </c>
      <c r="AF106" s="450">
        <f t="shared" si="24"/>
        <v>1.1724806201550388</v>
      </c>
      <c r="AG106" s="451">
        <f t="shared" si="24"/>
        <v>3.4864341085271318</v>
      </c>
      <c r="AH106" s="450"/>
      <c r="AI106" s="269"/>
      <c r="AJ106" s="446"/>
    </row>
    <row r="107" spans="28:36" ht="17" thickBot="1" x14ac:dyDescent="0.25">
      <c r="AB107" s="452" t="s">
        <v>247</v>
      </c>
      <c r="AC107" s="453">
        <f>AC105/AC101</f>
        <v>1.0577880512091038</v>
      </c>
      <c r="AD107" s="453">
        <f t="shared" ref="AD107:AG107" si="25">AD105/AD101</f>
        <v>0.89018852346222654</v>
      </c>
      <c r="AE107" s="453">
        <f t="shared" si="25"/>
        <v>0.92750512735693014</v>
      </c>
      <c r="AF107" s="453">
        <f t="shared" si="25"/>
        <v>0.96336702290076326</v>
      </c>
      <c r="AG107" s="454">
        <f t="shared" si="25"/>
        <v>0.9312378688281292</v>
      </c>
      <c r="AH107" s="455"/>
      <c r="AI107" s="456"/>
      <c r="AJ107" s="457"/>
    </row>
    <row r="108" spans="28:36" ht="18" thickTop="1" thickBot="1" x14ac:dyDescent="0.25"/>
    <row r="109" spans="28:36" ht="17" thickTop="1" x14ac:dyDescent="0.2">
      <c r="AB109" s="441" t="s">
        <v>254</v>
      </c>
      <c r="AC109" s="442" t="s">
        <v>231</v>
      </c>
      <c r="AD109" s="442" t="s">
        <v>232</v>
      </c>
      <c r="AE109" s="442" t="s">
        <v>233</v>
      </c>
      <c r="AF109" s="442" t="s">
        <v>234</v>
      </c>
      <c r="AG109" s="443" t="s">
        <v>235</v>
      </c>
      <c r="AH109" s="287"/>
      <c r="AI109" s="444" t="s">
        <v>236</v>
      </c>
    </row>
    <row r="110" spans="28:36" x14ac:dyDescent="0.2">
      <c r="AB110" s="445" t="s">
        <v>0</v>
      </c>
      <c r="AC110" s="446">
        <f>AC101+1000</f>
        <v>12248</v>
      </c>
      <c r="AD110" s="446">
        <f>AD101+2534-1494</f>
        <v>15574</v>
      </c>
      <c r="AE110" s="446">
        <f>AE101+1115-33</f>
        <v>16197</v>
      </c>
      <c r="AF110" s="446">
        <f>AF101+1125</f>
        <v>16845</v>
      </c>
      <c r="AG110" s="447">
        <f>AG101+1169</f>
        <v>18688</v>
      </c>
      <c r="AH110" s="446"/>
      <c r="AI110" s="269" t="s">
        <v>253</v>
      </c>
    </row>
    <row r="111" spans="28:36" ht="17" customHeight="1" x14ac:dyDescent="0.2">
      <c r="AB111" s="445" t="s">
        <v>238</v>
      </c>
      <c r="AC111" s="446">
        <f>AC75</f>
        <v>-13975</v>
      </c>
      <c r="AD111" s="446">
        <f t="shared" ref="AD111:AG111" si="26">AD75</f>
        <v>-14534</v>
      </c>
      <c r="AE111" s="446">
        <f t="shared" si="26"/>
        <v>-15115.36</v>
      </c>
      <c r="AF111" s="446">
        <f t="shared" si="26"/>
        <v>-15719.974400000001</v>
      </c>
      <c r="AG111" s="447">
        <f t="shared" si="26"/>
        <v>-16348.773376000001</v>
      </c>
      <c r="AH111" s="446"/>
      <c r="AI111" s="269" t="s">
        <v>239</v>
      </c>
    </row>
    <row r="112" spans="28:36" x14ac:dyDescent="0.2">
      <c r="AB112" s="445" t="s">
        <v>240</v>
      </c>
      <c r="AC112" s="446">
        <f t="shared" ref="AC112:AG112" si="27">AC103</f>
        <v>-1000</v>
      </c>
      <c r="AD112" s="446">
        <f t="shared" si="27"/>
        <v>0</v>
      </c>
      <c r="AE112" s="446">
        <f t="shared" si="27"/>
        <v>0</v>
      </c>
      <c r="AF112" s="446">
        <f t="shared" si="27"/>
        <v>0</v>
      </c>
      <c r="AG112" s="447">
        <f t="shared" si="27"/>
        <v>-1169.8585600000004</v>
      </c>
      <c r="AH112" s="446"/>
      <c r="AI112" s="269" t="s">
        <v>243</v>
      </c>
    </row>
    <row r="113" spans="28:42" ht="17" thickBot="1" x14ac:dyDescent="0.25">
      <c r="AB113" s="445" t="s">
        <v>242</v>
      </c>
      <c r="AC113" s="448">
        <f>SUM(AC110:AC112)</f>
        <v>-2727</v>
      </c>
      <c r="AD113" s="448">
        <f t="shared" ref="AD113:AG113" si="28">SUM(AD110:AD112)</f>
        <v>1040</v>
      </c>
      <c r="AE113" s="448">
        <f t="shared" si="28"/>
        <v>1081.6399999999994</v>
      </c>
      <c r="AF113" s="448">
        <f t="shared" si="28"/>
        <v>1125.025599999999</v>
      </c>
      <c r="AG113" s="449">
        <f t="shared" si="28"/>
        <v>1169.3680639999986</v>
      </c>
      <c r="AH113" s="446"/>
      <c r="AI113" s="269" t="s">
        <v>245</v>
      </c>
    </row>
    <row r="114" spans="28:42" x14ac:dyDescent="0.2">
      <c r="AB114" s="445" t="s">
        <v>244</v>
      </c>
      <c r="AC114" s="446">
        <f>$F$8+AC113</f>
        <v>11898</v>
      </c>
      <c r="AD114" s="446">
        <f>AC114+AD113</f>
        <v>12938</v>
      </c>
      <c r="AE114" s="446">
        <f t="shared" ref="AE114:AG114" si="29">AD114+AE113</f>
        <v>14019.64</v>
      </c>
      <c r="AF114" s="446">
        <f t="shared" si="29"/>
        <v>15144.665599999998</v>
      </c>
      <c r="AG114" s="447">
        <f t="shared" si="29"/>
        <v>16314.033663999997</v>
      </c>
      <c r="AH114" s="446"/>
      <c r="AI114" s="269"/>
    </row>
    <row r="115" spans="28:42" x14ac:dyDescent="0.2">
      <c r="AB115" s="445" t="s">
        <v>246</v>
      </c>
      <c r="AC115" s="450">
        <f>(AC110-8000)/$M$25</f>
        <v>8.2325581395348841</v>
      </c>
      <c r="AD115" s="450">
        <f>(AD110-AC110)/$M$25</f>
        <v>6.445736434108527</v>
      </c>
      <c r="AE115" s="450">
        <f t="shared" ref="AE115:AG115" si="30">(AE110-AD110)/$M$25</f>
        <v>1.2073643410852712</v>
      </c>
      <c r="AF115" s="450">
        <f t="shared" si="30"/>
        <v>1.2558139534883721</v>
      </c>
      <c r="AG115" s="451">
        <f t="shared" si="30"/>
        <v>3.5717054263565893</v>
      </c>
      <c r="AH115" s="450"/>
      <c r="AI115" s="269"/>
    </row>
    <row r="116" spans="28:42" ht="17" thickBot="1" x14ac:dyDescent="0.25">
      <c r="AB116" s="452" t="s">
        <v>247</v>
      </c>
      <c r="AC116" s="453">
        <f>AC114/AC110</f>
        <v>0.97142390594382755</v>
      </c>
      <c r="AD116" s="453">
        <f t="shared" ref="AD116:AG116" si="31">AD114/AD110</f>
        <v>0.83074354693720298</v>
      </c>
      <c r="AE116" s="453">
        <f t="shared" si="31"/>
        <v>0.86557016731493486</v>
      </c>
      <c r="AF116" s="453">
        <f t="shared" si="31"/>
        <v>0.89905999406352022</v>
      </c>
      <c r="AG116" s="454">
        <f t="shared" si="31"/>
        <v>0.87296841095890398</v>
      </c>
      <c r="AH116" s="455"/>
      <c r="AI116" s="456"/>
    </row>
    <row r="117" spans="28:42" ht="17" thickTop="1" x14ac:dyDescent="0.2"/>
    <row r="119" spans="28:42" ht="17" thickBot="1" x14ac:dyDescent="0.25"/>
    <row r="120" spans="28:42" ht="35" thickTop="1" x14ac:dyDescent="0.2">
      <c r="AN120" s="461"/>
      <c r="AO120" s="462" t="s">
        <v>255</v>
      </c>
      <c r="AP120" s="463"/>
    </row>
    <row r="121" spans="28:42" x14ac:dyDescent="0.2">
      <c r="AN121" s="445" t="s">
        <v>256</v>
      </c>
      <c r="AO121">
        <v>188.36</v>
      </c>
      <c r="AP121" s="464"/>
    </row>
    <row r="122" spans="28:42" x14ac:dyDescent="0.2">
      <c r="AN122" s="445" t="s">
        <v>257</v>
      </c>
      <c r="AO122">
        <v>1390.86</v>
      </c>
      <c r="AP122" s="464"/>
    </row>
    <row r="123" spans="28:42" x14ac:dyDescent="0.2">
      <c r="AN123" s="445" t="s">
        <v>258</v>
      </c>
      <c r="AO123">
        <v>236.46</v>
      </c>
      <c r="AP123" s="464"/>
    </row>
    <row r="124" spans="28:42" x14ac:dyDescent="0.2">
      <c r="AN124" s="445" t="s">
        <v>259</v>
      </c>
      <c r="AO124">
        <v>75.430000000000007</v>
      </c>
      <c r="AP124" s="464"/>
    </row>
    <row r="125" spans="28:42" x14ac:dyDescent="0.2">
      <c r="AN125" s="445"/>
      <c r="AO125" s="465">
        <f>SUM(AO121:AO124)</f>
        <v>1891.11</v>
      </c>
      <c r="AP125" s="464"/>
    </row>
    <row r="126" spans="28:42" x14ac:dyDescent="0.2">
      <c r="AN126" s="445" t="s">
        <v>260</v>
      </c>
      <c r="AO126">
        <v>15.44</v>
      </c>
      <c r="AP126" s="466" t="s">
        <v>261</v>
      </c>
    </row>
    <row r="127" spans="28:42" ht="18" thickBot="1" x14ac:dyDescent="0.25">
      <c r="AN127" s="467" t="s">
        <v>262</v>
      </c>
      <c r="AO127" s="468">
        <f>SUM(AO125:AO126)</f>
        <v>1906.55</v>
      </c>
      <c r="AP127" s="469"/>
    </row>
    <row r="128" spans="28:42" x14ac:dyDescent="0.2">
      <c r="AN128" s="445"/>
      <c r="AP128" s="464"/>
    </row>
    <row r="129" spans="40:42" x14ac:dyDescent="0.2">
      <c r="AN129" s="445" t="s">
        <v>263</v>
      </c>
      <c r="AO129" s="470">
        <f>F26</f>
        <v>23.255813953488371</v>
      </c>
      <c r="AP129" s="466" t="s">
        <v>264</v>
      </c>
    </row>
    <row r="130" spans="40:42" ht="17" thickBot="1" x14ac:dyDescent="0.25">
      <c r="AN130" s="452" t="s">
        <v>265</v>
      </c>
      <c r="AO130" s="471">
        <f>AO129-AO126</f>
        <v>7.8158139534883713</v>
      </c>
      <c r="AP130" s="472"/>
    </row>
    <row r="131" spans="40:42" ht="17" thickTop="1" x14ac:dyDescent="0.2"/>
    <row r="132" spans="40:42" x14ac:dyDescent="0.2">
      <c r="AO132" s="473">
        <f>AO130/AO127</f>
        <v>4.0994539631734658E-3</v>
      </c>
    </row>
  </sheetData>
  <mergeCells count="3">
    <mergeCell ref="E6:F6"/>
    <mergeCell ref="I6:J6"/>
    <mergeCell ref="L6:M6"/>
  </mergeCells>
  <pageMargins left="0.7" right="0.7" top="0.75" bottom="0.75" header="0.3" footer="0.3"/>
  <pageSetup paperSize="9" scale="9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C8E1F-3C95-C840-81F8-8F161C144BD7}">
  <sheetPr>
    <tabColor theme="9" tint="0.39997558519241921"/>
  </sheetPr>
  <dimension ref="B2:M18"/>
  <sheetViews>
    <sheetView topLeftCell="A2" workbookViewId="0">
      <selection activeCell="B24" sqref="B24"/>
    </sheetView>
  </sheetViews>
  <sheetFormatPr baseColWidth="10" defaultRowHeight="16" x14ac:dyDescent="0.2"/>
  <cols>
    <col min="2" max="2" width="38.33203125" style="183" customWidth="1"/>
  </cols>
  <sheetData>
    <row r="2" spans="2:13" ht="17" x14ac:dyDescent="0.2">
      <c r="B2" s="183" t="s">
        <v>149</v>
      </c>
      <c r="D2" t="s">
        <v>152</v>
      </c>
    </row>
    <row r="3" spans="2:13" ht="17" customHeight="1" x14ac:dyDescent="0.2">
      <c r="B3" s="183" t="s">
        <v>147</v>
      </c>
      <c r="D3" t="s">
        <v>153</v>
      </c>
    </row>
    <row r="4" spans="2:13" ht="17" x14ac:dyDescent="0.2">
      <c r="B4" s="183" t="s">
        <v>44</v>
      </c>
      <c r="H4" s="183"/>
      <c r="I4" s="183"/>
      <c r="J4" s="183"/>
      <c r="K4" s="183"/>
      <c r="L4" s="183"/>
      <c r="M4" s="183"/>
    </row>
    <row r="5" spans="2:13" ht="21" customHeight="1" x14ac:dyDescent="0.2">
      <c r="B5" s="183" t="s">
        <v>169</v>
      </c>
    </row>
    <row r="6" spans="2:13" ht="21" customHeight="1" x14ac:dyDescent="0.2">
      <c r="B6" s="183" t="s">
        <v>170</v>
      </c>
    </row>
    <row r="7" spans="2:13" ht="17" x14ac:dyDescent="0.2">
      <c r="B7" s="183" t="s">
        <v>4</v>
      </c>
    </row>
    <row r="8" spans="2:13" ht="17" x14ac:dyDescent="0.2">
      <c r="B8" s="183" t="s">
        <v>136</v>
      </c>
    </row>
    <row r="9" spans="2:13" ht="16" customHeight="1" x14ac:dyDescent="0.2">
      <c r="B9" s="183" t="s">
        <v>46</v>
      </c>
    </row>
    <row r="10" spans="2:13" ht="17" x14ac:dyDescent="0.2">
      <c r="B10" s="183" t="s">
        <v>68</v>
      </c>
    </row>
    <row r="11" spans="2:13" ht="17" x14ac:dyDescent="0.2">
      <c r="B11" s="183" t="s">
        <v>151</v>
      </c>
    </row>
    <row r="12" spans="2:13" ht="17" x14ac:dyDescent="0.2">
      <c r="B12" s="183" t="s">
        <v>150</v>
      </c>
    </row>
    <row r="13" spans="2:13" ht="17" x14ac:dyDescent="0.2">
      <c r="B13" s="183" t="s">
        <v>148</v>
      </c>
    </row>
    <row r="14" spans="2:13" ht="17" x14ac:dyDescent="0.2">
      <c r="B14" s="183" t="s">
        <v>45</v>
      </c>
    </row>
    <row r="15" spans="2:13" x14ac:dyDescent="0.2">
      <c r="B15" s="183" t="s">
        <v>6</v>
      </c>
    </row>
    <row r="16" spans="2:13" x14ac:dyDescent="0.2">
      <c r="B16" s="183" t="s">
        <v>179</v>
      </c>
    </row>
    <row r="17" spans="2:2" ht="17" x14ac:dyDescent="0.2">
      <c r="B17" s="183" t="s">
        <v>47</v>
      </c>
    </row>
    <row r="18" spans="2:2" ht="17" x14ac:dyDescent="0.2">
      <c r="B18" s="183" t="s">
        <v>177</v>
      </c>
    </row>
  </sheetData>
  <sortState xmlns:xlrd2="http://schemas.microsoft.com/office/spreadsheetml/2017/richdata2" ref="B3:B14">
    <sortCondition ref="B3:B14"/>
  </sortState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1DB1A-407A-F941-8F01-BB6F4FBDB8E7}">
  <sheetPr>
    <pageSetUpPr fitToPage="1"/>
  </sheetPr>
  <dimension ref="B1:AZ168"/>
  <sheetViews>
    <sheetView topLeftCell="B18" zoomScale="80" zoomScaleNormal="80" workbookViewId="0">
      <selection activeCell="E46" sqref="E46:F46"/>
    </sheetView>
  </sheetViews>
  <sheetFormatPr baseColWidth="10" defaultRowHeight="16" outlineLevelCol="1" x14ac:dyDescent="0.2"/>
  <cols>
    <col min="1" max="1" width="3.83203125" customWidth="1"/>
    <col min="2" max="3" width="10.83203125" style="16"/>
    <col min="4" max="4" width="2.5" customWidth="1"/>
    <col min="5" max="5" width="13.1640625" customWidth="1"/>
    <col min="6" max="6" width="42.5" customWidth="1"/>
    <col min="7" max="7" width="13.33203125" style="21" customWidth="1"/>
    <col min="8" max="8" width="6.5" style="45" customWidth="1"/>
    <col min="9" max="9" width="12.1640625" style="28" customWidth="1"/>
    <col min="10" max="10" width="12.1640625" style="51" customWidth="1"/>
    <col min="11" max="11" width="12.1640625" style="2" customWidth="1"/>
    <col min="12" max="12" width="12.1640625" style="7" customWidth="1"/>
    <col min="13" max="15" width="12.1640625" customWidth="1"/>
    <col min="16" max="16" width="32.5" customWidth="1"/>
    <col min="17" max="22" width="12.1640625" customWidth="1"/>
    <col min="23" max="23" width="3.1640625" customWidth="1"/>
    <col min="24" max="27" width="0" style="36" hidden="1" customWidth="1" outlineLevel="1"/>
    <col min="28" max="29" width="0" hidden="1" customWidth="1" outlineLevel="1"/>
    <col min="30" max="30" width="2.83203125" customWidth="1" collapsed="1"/>
    <col min="31" max="31" width="44.5" customWidth="1"/>
    <col min="32" max="32" width="10.83203125" style="119"/>
    <col min="33" max="33" width="11.83203125" customWidth="1"/>
    <col min="34" max="34" width="13.6640625" style="119" customWidth="1"/>
    <col min="35" max="39" width="10.83203125" hidden="1" customWidth="1" outlineLevel="1"/>
    <col min="40" max="40" width="2.5" customWidth="1" collapsed="1"/>
    <col min="42" max="42" width="5" customWidth="1"/>
    <col min="43" max="43" width="49" customWidth="1"/>
    <col min="48" max="48" width="5" customWidth="1"/>
    <col min="49" max="49" width="12.6640625" style="142" customWidth="1"/>
    <col min="50" max="50" width="17.6640625" customWidth="1"/>
    <col min="51" max="51" width="5" customWidth="1"/>
  </cols>
  <sheetData>
    <row r="1" spans="2:49" s="1" customFormat="1" ht="29" customHeight="1" x14ac:dyDescent="0.2">
      <c r="B1" s="18"/>
      <c r="C1" s="18"/>
      <c r="E1" s="13" t="s">
        <v>13</v>
      </c>
      <c r="G1" s="22"/>
      <c r="H1" s="45"/>
      <c r="I1" s="31"/>
      <c r="J1" s="162"/>
      <c r="K1" s="2"/>
      <c r="L1" s="7"/>
      <c r="X1" s="37"/>
      <c r="Y1" s="37"/>
      <c r="Z1" s="37"/>
      <c r="AA1" s="37"/>
      <c r="AF1" s="136"/>
      <c r="AH1" s="136"/>
      <c r="AW1" s="141"/>
    </row>
    <row r="2" spans="2:49" s="1" customFormat="1" ht="47" customHeight="1" x14ac:dyDescent="0.2">
      <c r="B2" s="17" t="s">
        <v>18</v>
      </c>
      <c r="C2" s="17" t="s">
        <v>16</v>
      </c>
      <c r="E2" s="14" t="s">
        <v>24</v>
      </c>
      <c r="G2" s="22"/>
      <c r="H2" s="45"/>
      <c r="I2" s="31"/>
      <c r="J2" s="162"/>
      <c r="K2" s="12"/>
      <c r="L2" s="7"/>
      <c r="X2" s="37"/>
      <c r="Y2" s="37"/>
      <c r="Z2" s="37"/>
      <c r="AA2" s="37"/>
      <c r="AF2" s="136"/>
      <c r="AH2" s="136"/>
      <c r="AW2" s="141"/>
    </row>
    <row r="3" spans="2:49" s="1" customFormat="1" ht="45" customHeight="1" x14ac:dyDescent="0.2">
      <c r="B3" s="18"/>
      <c r="C3" s="18"/>
      <c r="E3" s="14" t="s">
        <v>20</v>
      </c>
      <c r="G3" s="23"/>
      <c r="H3" s="45"/>
      <c r="I3" s="54" t="s">
        <v>73</v>
      </c>
      <c r="J3" s="163" t="s">
        <v>0</v>
      </c>
      <c r="K3" s="55" t="s">
        <v>103</v>
      </c>
      <c r="L3" s="55" t="s">
        <v>70</v>
      </c>
      <c r="M3" s="55" t="s">
        <v>71</v>
      </c>
      <c r="N3" s="59" t="s">
        <v>72</v>
      </c>
      <c r="X3" s="37"/>
      <c r="Y3" s="37"/>
      <c r="Z3" s="37"/>
      <c r="AA3" s="37"/>
      <c r="AF3" s="136"/>
      <c r="AH3" s="136"/>
      <c r="AW3" s="141"/>
    </row>
    <row r="4" spans="2:49" ht="19" x14ac:dyDescent="0.25">
      <c r="E4" s="8" t="s">
        <v>21</v>
      </c>
      <c r="I4" s="7"/>
      <c r="J4" s="164"/>
      <c r="L4" s="56"/>
      <c r="M4" s="56"/>
      <c r="N4" s="60"/>
    </row>
    <row r="5" spans="2:49" x14ac:dyDescent="0.2">
      <c r="E5" t="s">
        <v>0</v>
      </c>
      <c r="I5" s="57">
        <f t="shared" ref="I5:I14" si="0">SUM(J5:M5)</f>
        <v>4000</v>
      </c>
      <c r="J5" s="164">
        <v>4000</v>
      </c>
      <c r="L5" s="56"/>
      <c r="M5" s="56"/>
      <c r="N5" s="61">
        <f>IF((SUM(J5:M5)-I5)*0,"OK",SUM(J5:M5)-I5)</f>
        <v>0</v>
      </c>
    </row>
    <row r="6" spans="2:49" x14ac:dyDescent="0.2">
      <c r="E6" s="6">
        <v>44677</v>
      </c>
      <c r="F6" t="s">
        <v>38</v>
      </c>
      <c r="I6" s="57">
        <f t="shared" si="0"/>
        <v>1500</v>
      </c>
      <c r="J6" s="164"/>
      <c r="L6" s="56"/>
      <c r="M6" s="56">
        <v>1500</v>
      </c>
      <c r="N6" s="61">
        <f>IF((SUM(J6:M6)-I6)*0,"OK",SUM(J6:M6)-I6)</f>
        <v>0</v>
      </c>
    </row>
    <row r="7" spans="2:49" x14ac:dyDescent="0.2">
      <c r="E7" s="6">
        <v>44679</v>
      </c>
      <c r="F7" t="s">
        <v>39</v>
      </c>
      <c r="I7" s="57">
        <f t="shared" si="0"/>
        <v>500</v>
      </c>
      <c r="J7" s="164"/>
      <c r="L7" s="56"/>
      <c r="M7" s="56">
        <v>500</v>
      </c>
      <c r="N7" s="61">
        <f>IF((SUM(J7:M7)-I7)*0,"OK",SUM(J7:M7)-I7)</f>
        <v>0</v>
      </c>
    </row>
    <row r="8" spans="2:49" x14ac:dyDescent="0.2">
      <c r="E8" s="6">
        <v>44698</v>
      </c>
      <c r="F8" t="s">
        <v>52</v>
      </c>
      <c r="I8" s="57">
        <f t="shared" si="0"/>
        <v>50</v>
      </c>
      <c r="J8" s="164"/>
      <c r="L8" s="56"/>
      <c r="M8" s="56">
        <v>50</v>
      </c>
      <c r="N8" s="61">
        <f>IF((SUM(J8:M8)-I8)*0,"OK",SUM(J8:M8)-I8)</f>
        <v>0</v>
      </c>
    </row>
    <row r="9" spans="2:49" x14ac:dyDescent="0.2">
      <c r="E9" s="6">
        <v>44706</v>
      </c>
      <c r="F9" t="s">
        <v>40</v>
      </c>
      <c r="I9" s="57">
        <f t="shared" si="0"/>
        <v>424.75</v>
      </c>
      <c r="J9" s="164"/>
      <c r="L9" s="56">
        <v>424.75</v>
      </c>
      <c r="M9" s="7"/>
      <c r="N9" s="61">
        <f>IF((SUM(J9:L9)-I9)*0,"OK",SUM(J9:L9)-I9)</f>
        <v>0</v>
      </c>
    </row>
    <row r="10" spans="2:49" x14ac:dyDescent="0.2">
      <c r="E10" s="6">
        <v>44833</v>
      </c>
      <c r="F10" t="s">
        <v>0</v>
      </c>
      <c r="I10" s="57">
        <f t="shared" si="0"/>
        <v>4000</v>
      </c>
      <c r="J10" s="164">
        <v>4000</v>
      </c>
      <c r="L10" s="56"/>
      <c r="M10" s="56"/>
      <c r="N10" s="61">
        <f>IF((SUM(J10:M10)-I10)*0,"OK",SUM(J10:M10)-I10)</f>
        <v>0</v>
      </c>
    </row>
    <row r="11" spans="2:49" x14ac:dyDescent="0.2">
      <c r="E11" s="6">
        <v>44886</v>
      </c>
      <c r="F11" t="s">
        <v>40</v>
      </c>
      <c r="I11" s="57">
        <f t="shared" si="0"/>
        <v>1007.35</v>
      </c>
      <c r="J11" s="164"/>
      <c r="L11" s="56">
        <v>1007.35</v>
      </c>
      <c r="M11" s="56"/>
      <c r="N11" s="61">
        <f>IF((SUM(J11:M11)-I11)*0,"OK",SUM(J11:M11)-I11)</f>
        <v>0</v>
      </c>
    </row>
    <row r="12" spans="2:49" x14ac:dyDescent="0.2">
      <c r="E12" s="6">
        <v>44903</v>
      </c>
      <c r="F12" t="s">
        <v>92</v>
      </c>
      <c r="G12" s="21" t="s">
        <v>93</v>
      </c>
      <c r="I12" s="57">
        <f t="shared" si="0"/>
        <v>200</v>
      </c>
      <c r="J12" s="164"/>
      <c r="L12" s="56"/>
      <c r="M12" s="56">
        <v>200</v>
      </c>
      <c r="N12" s="61">
        <f>IF((SUM(J12:M12)-I12)*0,"OK",SUM(J12:M12)-I12)</f>
        <v>0</v>
      </c>
    </row>
    <row r="13" spans="2:49" x14ac:dyDescent="0.2">
      <c r="E13" s="6">
        <v>44958</v>
      </c>
      <c r="F13" t="s">
        <v>15</v>
      </c>
      <c r="I13" s="57">
        <f t="shared" si="0"/>
        <v>500</v>
      </c>
      <c r="J13" s="164"/>
      <c r="K13" s="2">
        <v>500</v>
      </c>
      <c r="L13" s="56"/>
      <c r="M13" s="56"/>
      <c r="N13" s="61">
        <f t="shared" ref="N13:N14" si="1">IF((SUM(J13:M13)-I13)*0,"OK",SUM(J13:M13)-I13)</f>
        <v>0</v>
      </c>
    </row>
    <row r="14" spans="2:49" x14ac:dyDescent="0.2">
      <c r="B14" s="16">
        <v>328.05</v>
      </c>
      <c r="E14" s="6"/>
      <c r="F14" t="s">
        <v>124</v>
      </c>
      <c r="I14" s="57">
        <f t="shared" si="0"/>
        <v>328.05</v>
      </c>
      <c r="J14" s="164"/>
      <c r="L14" s="56">
        <v>328.05</v>
      </c>
      <c r="M14" s="56"/>
      <c r="N14" s="61">
        <f t="shared" si="1"/>
        <v>0</v>
      </c>
    </row>
    <row r="15" spans="2:49" x14ac:dyDescent="0.2">
      <c r="I15" s="58">
        <f>SUM(I4:I14)</f>
        <v>12510.15</v>
      </c>
      <c r="J15" s="58">
        <f t="shared" ref="J15:M15" si="2">SUM(J4:J14)</f>
        <v>8000</v>
      </c>
      <c r="K15" s="58">
        <f t="shared" si="2"/>
        <v>500</v>
      </c>
      <c r="L15" s="58">
        <f t="shared" si="2"/>
        <v>1760.1499999999999</v>
      </c>
      <c r="M15" s="58">
        <f t="shared" si="2"/>
        <v>2250</v>
      </c>
    </row>
    <row r="16" spans="2:49" x14ac:dyDescent="0.2">
      <c r="I16" s="30"/>
      <c r="J16" s="165"/>
      <c r="K16" s="30"/>
    </row>
    <row r="17" spans="2:49" x14ac:dyDescent="0.2">
      <c r="I17" s="30"/>
      <c r="J17" s="165"/>
      <c r="K17" s="30"/>
    </row>
    <row r="18" spans="2:49" s="53" customFormat="1" ht="52" x14ac:dyDescent="0.25">
      <c r="B18" s="17"/>
      <c r="C18" s="17"/>
      <c r="E18" s="63" t="s">
        <v>10</v>
      </c>
      <c r="G18" s="62" t="s">
        <v>9</v>
      </c>
      <c r="H18" s="64" t="s">
        <v>58</v>
      </c>
      <c r="I18" s="55" t="s">
        <v>74</v>
      </c>
      <c r="J18" s="166" t="s">
        <v>48</v>
      </c>
      <c r="K18" s="55" t="s">
        <v>75</v>
      </c>
      <c r="L18" s="55" t="s">
        <v>6</v>
      </c>
      <c r="M18" s="55" t="s">
        <v>43</v>
      </c>
      <c r="N18" s="55" t="s">
        <v>7</v>
      </c>
      <c r="O18" s="55" t="s">
        <v>68</v>
      </c>
      <c r="P18" s="55" t="s">
        <v>4</v>
      </c>
      <c r="Q18" s="55" t="s">
        <v>44</v>
      </c>
      <c r="R18" s="55" t="s">
        <v>45</v>
      </c>
      <c r="S18" s="55" t="s">
        <v>65</v>
      </c>
      <c r="T18" s="55" t="s">
        <v>47</v>
      </c>
      <c r="U18" s="55"/>
      <c r="AF18" s="137"/>
      <c r="AH18" s="137"/>
      <c r="AW18" s="143"/>
    </row>
    <row r="19" spans="2:49" x14ac:dyDescent="0.2">
      <c r="E19" s="6">
        <v>44672</v>
      </c>
      <c r="F19" t="s">
        <v>41</v>
      </c>
      <c r="G19" s="21">
        <v>1206</v>
      </c>
      <c r="I19" s="51">
        <v>75</v>
      </c>
      <c r="J19" s="51">
        <f>IF(H19="Y",-I19/6,0)</f>
        <v>0</v>
      </c>
      <c r="K19" s="7">
        <f>SUM(I19:J19)</f>
        <v>75</v>
      </c>
      <c r="M19" s="52">
        <f>K19</f>
        <v>75</v>
      </c>
      <c r="V19" s="61">
        <f t="shared" ref="V19:V86" si="3">SUM(L19:T19)-K19</f>
        <v>0</v>
      </c>
      <c r="W19" s="61"/>
    </row>
    <row r="20" spans="2:49" x14ac:dyDescent="0.2">
      <c r="E20" s="6">
        <v>44672</v>
      </c>
      <c r="F20" t="s">
        <v>25</v>
      </c>
      <c r="G20" s="21">
        <v>1207</v>
      </c>
      <c r="H20" s="45" t="s">
        <v>49</v>
      </c>
      <c r="I20" s="51">
        <v>1138.5</v>
      </c>
      <c r="J20" s="51">
        <f t="shared" ref="J20:J62" si="4">IF(H20="Y",-I20/6,0)</f>
        <v>-189.75</v>
      </c>
      <c r="K20" s="7">
        <f t="shared" ref="K20:K68" si="5">SUM(I20:J20)</f>
        <v>948.75</v>
      </c>
      <c r="M20" s="52">
        <f t="shared" ref="M20:M22" si="6">K20</f>
        <v>948.75</v>
      </c>
      <c r="V20" s="61">
        <f t="shared" si="3"/>
        <v>0</v>
      </c>
      <c r="W20" s="61"/>
    </row>
    <row r="21" spans="2:49" x14ac:dyDescent="0.2">
      <c r="E21" s="6">
        <v>44672</v>
      </c>
      <c r="F21" t="s">
        <v>27</v>
      </c>
      <c r="G21" s="21">
        <v>1208</v>
      </c>
      <c r="H21" s="45" t="s">
        <v>49</v>
      </c>
      <c r="I21" s="51">
        <v>180</v>
      </c>
      <c r="J21" s="51">
        <f t="shared" si="4"/>
        <v>-30</v>
      </c>
      <c r="K21" s="7">
        <f t="shared" si="5"/>
        <v>150</v>
      </c>
      <c r="M21" s="52">
        <f t="shared" si="6"/>
        <v>150</v>
      </c>
      <c r="V21" s="61">
        <f t="shared" si="3"/>
        <v>0</v>
      </c>
      <c r="W21" s="61"/>
    </row>
    <row r="22" spans="2:49" x14ac:dyDescent="0.2">
      <c r="E22" s="6">
        <v>44693</v>
      </c>
      <c r="F22" t="s">
        <v>26</v>
      </c>
      <c r="G22" s="21">
        <v>1209</v>
      </c>
      <c r="H22" s="45" t="s">
        <v>49</v>
      </c>
      <c r="I22" s="51">
        <v>2016</v>
      </c>
      <c r="J22" s="173">
        <f t="shared" si="4"/>
        <v>-336</v>
      </c>
      <c r="K22" s="7">
        <f t="shared" si="5"/>
        <v>1680</v>
      </c>
      <c r="M22" s="52">
        <f t="shared" si="6"/>
        <v>1680</v>
      </c>
      <c r="V22" s="61">
        <f t="shared" si="3"/>
        <v>0</v>
      </c>
      <c r="W22" s="61"/>
    </row>
    <row r="23" spans="2:49" x14ac:dyDescent="0.2">
      <c r="E23" s="6">
        <v>44700</v>
      </c>
      <c r="F23" t="s">
        <v>29</v>
      </c>
      <c r="G23" s="21">
        <v>1210</v>
      </c>
      <c r="H23" s="45" t="s">
        <v>49</v>
      </c>
      <c r="I23" s="51">
        <v>34.49</v>
      </c>
      <c r="J23" s="173">
        <f t="shared" si="4"/>
        <v>-5.748333333333334</v>
      </c>
      <c r="K23" s="7">
        <f t="shared" si="5"/>
        <v>28.741666666666667</v>
      </c>
      <c r="T23" s="52">
        <f>K23</f>
        <v>28.741666666666667</v>
      </c>
      <c r="U23" s="52"/>
      <c r="V23" s="61">
        <f t="shared" si="3"/>
        <v>0</v>
      </c>
      <c r="W23" s="61"/>
    </row>
    <row r="24" spans="2:49" x14ac:dyDescent="0.2">
      <c r="E24" s="6">
        <v>44700</v>
      </c>
      <c r="F24" t="s">
        <v>30</v>
      </c>
      <c r="G24" s="21">
        <v>1211</v>
      </c>
      <c r="I24" s="51">
        <v>180</v>
      </c>
      <c r="J24" s="51">
        <f t="shared" si="4"/>
        <v>0</v>
      </c>
      <c r="K24" s="7">
        <f t="shared" si="5"/>
        <v>180</v>
      </c>
      <c r="O24">
        <v>180</v>
      </c>
      <c r="V24" s="61">
        <f t="shared" si="3"/>
        <v>0</v>
      </c>
      <c r="W24" s="61"/>
    </row>
    <row r="25" spans="2:49" x14ac:dyDescent="0.2">
      <c r="E25" s="6">
        <v>44700</v>
      </c>
      <c r="F25" t="s">
        <v>31</v>
      </c>
      <c r="G25" s="21">
        <v>1212</v>
      </c>
      <c r="H25" s="45" t="s">
        <v>49</v>
      </c>
      <c r="I25" s="51">
        <v>918</v>
      </c>
      <c r="J25" s="173">
        <f t="shared" si="4"/>
        <v>-153</v>
      </c>
      <c r="K25" s="7">
        <f t="shared" si="5"/>
        <v>765</v>
      </c>
      <c r="M25">
        <v>765</v>
      </c>
      <c r="V25" s="61">
        <f t="shared" si="3"/>
        <v>0</v>
      </c>
      <c r="W25" s="61"/>
    </row>
    <row r="26" spans="2:49" x14ac:dyDescent="0.2">
      <c r="C26" s="16">
        <f>-I26</f>
        <v>0</v>
      </c>
      <c r="E26" s="6"/>
      <c r="F26" t="s">
        <v>32</v>
      </c>
      <c r="G26" s="21">
        <v>1213</v>
      </c>
      <c r="I26" s="51"/>
      <c r="J26" s="51">
        <f t="shared" si="4"/>
        <v>0</v>
      </c>
      <c r="K26" s="7">
        <f t="shared" si="5"/>
        <v>0</v>
      </c>
      <c r="V26" s="61">
        <f t="shared" si="3"/>
        <v>0</v>
      </c>
      <c r="W26" s="61"/>
    </row>
    <row r="27" spans="2:49" x14ac:dyDescent="0.2">
      <c r="E27" s="6">
        <v>44700</v>
      </c>
      <c r="F27" t="s">
        <v>33</v>
      </c>
      <c r="G27" s="21">
        <v>1214</v>
      </c>
      <c r="I27" s="51">
        <v>664.54</v>
      </c>
      <c r="J27" s="51">
        <f t="shared" si="4"/>
        <v>0</v>
      </c>
      <c r="K27" s="7">
        <f t="shared" si="5"/>
        <v>664.54</v>
      </c>
      <c r="P27" s="52">
        <f>K27</f>
        <v>664.54</v>
      </c>
      <c r="V27" s="61">
        <f t="shared" si="3"/>
        <v>0</v>
      </c>
      <c r="W27" s="61"/>
    </row>
    <row r="28" spans="2:49" x14ac:dyDescent="0.2">
      <c r="E28" s="6">
        <v>44700</v>
      </c>
      <c r="F28" t="s">
        <v>34</v>
      </c>
      <c r="G28" s="21">
        <v>1215</v>
      </c>
      <c r="H28" s="45" t="s">
        <v>49</v>
      </c>
      <c r="I28" s="51">
        <v>600</v>
      </c>
      <c r="J28" s="173">
        <f t="shared" si="4"/>
        <v>-100</v>
      </c>
      <c r="K28" s="7">
        <f t="shared" si="5"/>
        <v>500</v>
      </c>
      <c r="O28" s="52">
        <f>K28</f>
        <v>500</v>
      </c>
      <c r="V28" s="61">
        <f t="shared" si="3"/>
        <v>0</v>
      </c>
      <c r="W28" s="61"/>
    </row>
    <row r="29" spans="2:49" x14ac:dyDescent="0.2">
      <c r="E29" s="6">
        <v>44700</v>
      </c>
      <c r="F29" t="s">
        <v>36</v>
      </c>
      <c r="G29" s="21">
        <v>1184</v>
      </c>
      <c r="I29" s="51">
        <v>-45</v>
      </c>
      <c r="J29" s="51">
        <f t="shared" si="4"/>
        <v>0</v>
      </c>
      <c r="K29" s="7">
        <f t="shared" si="5"/>
        <v>-45</v>
      </c>
      <c r="S29" s="52">
        <f>K29</f>
        <v>-45</v>
      </c>
      <c r="V29" s="61">
        <f t="shared" si="3"/>
        <v>0</v>
      </c>
      <c r="W29" s="61"/>
    </row>
    <row r="30" spans="2:49" x14ac:dyDescent="0.2">
      <c r="E30" s="6">
        <v>44700</v>
      </c>
      <c r="F30" t="s">
        <v>35</v>
      </c>
      <c r="G30" s="21">
        <v>1216</v>
      </c>
      <c r="I30" s="51">
        <v>45</v>
      </c>
      <c r="J30" s="51">
        <f t="shared" si="4"/>
        <v>0</v>
      </c>
      <c r="K30" s="7">
        <f t="shared" si="5"/>
        <v>45</v>
      </c>
      <c r="S30" s="52">
        <f>K30</f>
        <v>45</v>
      </c>
      <c r="V30" s="61">
        <f t="shared" si="3"/>
        <v>0</v>
      </c>
      <c r="W30" s="61"/>
    </row>
    <row r="31" spans="2:49" x14ac:dyDescent="0.2">
      <c r="E31" s="6">
        <v>44700</v>
      </c>
      <c r="F31" t="s">
        <v>37</v>
      </c>
      <c r="G31" s="21">
        <v>1217</v>
      </c>
      <c r="I31" s="51">
        <v>750</v>
      </c>
      <c r="J31" s="51">
        <f t="shared" si="4"/>
        <v>0</v>
      </c>
      <c r="K31" s="7">
        <f t="shared" si="5"/>
        <v>750</v>
      </c>
      <c r="M31" s="52">
        <f>K31</f>
        <v>750</v>
      </c>
      <c r="V31" s="61">
        <f t="shared" si="3"/>
        <v>0</v>
      </c>
      <c r="W31" s="61"/>
    </row>
    <row r="32" spans="2:49" x14ac:dyDescent="0.2">
      <c r="E32" s="6">
        <v>44700</v>
      </c>
      <c r="F32" t="s">
        <v>41</v>
      </c>
      <c r="G32" s="21">
        <v>1218</v>
      </c>
      <c r="I32" s="51">
        <v>60</v>
      </c>
      <c r="J32" s="51">
        <f t="shared" si="4"/>
        <v>0</v>
      </c>
      <c r="K32" s="7">
        <f t="shared" si="5"/>
        <v>60</v>
      </c>
      <c r="M32" s="52">
        <f>K32</f>
        <v>60</v>
      </c>
      <c r="V32" s="61">
        <f t="shared" si="3"/>
        <v>0</v>
      </c>
      <c r="W32" s="61"/>
    </row>
    <row r="33" spans="5:23" x14ac:dyDescent="0.2">
      <c r="E33" s="6">
        <v>44739</v>
      </c>
      <c r="F33" t="s">
        <v>53</v>
      </c>
      <c r="G33" s="21">
        <v>1219</v>
      </c>
      <c r="I33" s="51">
        <v>180</v>
      </c>
      <c r="J33" s="51">
        <f t="shared" si="4"/>
        <v>0</v>
      </c>
      <c r="K33" s="7">
        <f>SUM(I33:J33)</f>
        <v>180</v>
      </c>
      <c r="N33" s="52">
        <f>K33</f>
        <v>180</v>
      </c>
      <c r="V33" s="61">
        <f t="shared" si="3"/>
        <v>0</v>
      </c>
      <c r="W33" s="61"/>
    </row>
    <row r="34" spans="5:23" x14ac:dyDescent="0.2">
      <c r="E34" s="6">
        <v>44739</v>
      </c>
      <c r="F34" t="s">
        <v>41</v>
      </c>
      <c r="G34" s="21">
        <v>1220</v>
      </c>
      <c r="I34" s="51">
        <v>60</v>
      </c>
      <c r="J34" s="51">
        <f t="shared" si="4"/>
        <v>0</v>
      </c>
      <c r="K34" s="7">
        <f t="shared" si="5"/>
        <v>60</v>
      </c>
      <c r="M34" s="52">
        <f>K34</f>
        <v>60</v>
      </c>
      <c r="V34" s="61">
        <f t="shared" si="3"/>
        <v>0</v>
      </c>
      <c r="W34" s="61"/>
    </row>
    <row r="35" spans="5:23" x14ac:dyDescent="0.2">
      <c r="E35" s="6">
        <v>44739</v>
      </c>
      <c r="F35" t="s">
        <v>54</v>
      </c>
      <c r="G35" s="21">
        <v>1221</v>
      </c>
      <c r="I35" s="51">
        <v>750</v>
      </c>
      <c r="J35" s="51">
        <f t="shared" si="4"/>
        <v>0</v>
      </c>
      <c r="K35" s="7">
        <f t="shared" si="5"/>
        <v>750</v>
      </c>
      <c r="L35" s="7">
        <f>K35</f>
        <v>750</v>
      </c>
      <c r="V35" s="61">
        <f t="shared" si="3"/>
        <v>0</v>
      </c>
      <c r="W35" s="61"/>
    </row>
    <row r="36" spans="5:23" x14ac:dyDescent="0.2">
      <c r="E36" s="6">
        <v>44739</v>
      </c>
      <c r="F36" t="s">
        <v>55</v>
      </c>
      <c r="G36" s="21">
        <v>1222</v>
      </c>
      <c r="H36" s="45" t="s">
        <v>49</v>
      </c>
      <c r="I36" s="51">
        <v>312</v>
      </c>
      <c r="J36" s="173">
        <f t="shared" si="4"/>
        <v>-52</v>
      </c>
      <c r="K36" s="7">
        <f t="shared" si="5"/>
        <v>260</v>
      </c>
      <c r="O36" s="52">
        <f>K36</f>
        <v>260</v>
      </c>
      <c r="V36" s="61">
        <f t="shared" si="3"/>
        <v>0</v>
      </c>
      <c r="W36" s="61"/>
    </row>
    <row r="37" spans="5:23" x14ac:dyDescent="0.2">
      <c r="E37" s="6">
        <v>44763</v>
      </c>
      <c r="F37" t="s">
        <v>53</v>
      </c>
      <c r="G37" s="21">
        <v>1223</v>
      </c>
      <c r="I37" s="51">
        <v>60</v>
      </c>
      <c r="J37" s="51">
        <f t="shared" si="4"/>
        <v>0</v>
      </c>
      <c r="K37" s="7">
        <f t="shared" si="5"/>
        <v>60</v>
      </c>
      <c r="N37" s="52">
        <f>K37</f>
        <v>60</v>
      </c>
      <c r="V37" s="61">
        <f t="shared" si="3"/>
        <v>0</v>
      </c>
      <c r="W37" s="61"/>
    </row>
    <row r="38" spans="5:23" x14ac:dyDescent="0.2">
      <c r="E38" s="6">
        <v>44763</v>
      </c>
      <c r="F38" t="s">
        <v>57</v>
      </c>
      <c r="G38" s="21">
        <v>1224</v>
      </c>
      <c r="H38" s="45" t="s">
        <v>49</v>
      </c>
      <c r="I38" s="51">
        <v>47.93</v>
      </c>
      <c r="J38" s="173">
        <f t="shared" si="4"/>
        <v>-7.9883333333333333</v>
      </c>
      <c r="K38" s="7">
        <f t="shared" si="5"/>
        <v>39.941666666666663</v>
      </c>
      <c r="M38" s="52">
        <f>K38</f>
        <v>39.941666666666663</v>
      </c>
      <c r="V38" s="61">
        <f t="shared" si="3"/>
        <v>0</v>
      </c>
      <c r="W38" s="61"/>
    </row>
    <row r="39" spans="5:23" x14ac:dyDescent="0.2">
      <c r="E39" s="6">
        <v>44763</v>
      </c>
      <c r="F39" t="s">
        <v>41</v>
      </c>
      <c r="G39" s="21">
        <v>1225</v>
      </c>
      <c r="I39" s="51">
        <v>60</v>
      </c>
      <c r="J39" s="51">
        <f t="shared" si="4"/>
        <v>0</v>
      </c>
      <c r="K39" s="7">
        <f t="shared" si="5"/>
        <v>60</v>
      </c>
      <c r="M39" s="52">
        <f>K39</f>
        <v>60</v>
      </c>
      <c r="V39" s="61">
        <f t="shared" si="3"/>
        <v>0</v>
      </c>
      <c r="W39" s="61"/>
    </row>
    <row r="40" spans="5:23" x14ac:dyDescent="0.2">
      <c r="E40" s="6"/>
      <c r="F40" t="s">
        <v>32</v>
      </c>
      <c r="G40" s="21">
        <v>1226</v>
      </c>
      <c r="I40" s="44"/>
      <c r="J40" s="51">
        <f t="shared" si="4"/>
        <v>0</v>
      </c>
      <c r="K40" s="7">
        <f t="shared" si="5"/>
        <v>0</v>
      </c>
      <c r="V40" s="61">
        <f t="shared" si="3"/>
        <v>0</v>
      </c>
      <c r="W40" s="61"/>
    </row>
    <row r="41" spans="5:23" x14ac:dyDescent="0.2">
      <c r="E41" s="6">
        <v>44826</v>
      </c>
      <c r="F41" t="s">
        <v>53</v>
      </c>
      <c r="G41" s="21">
        <v>1227</v>
      </c>
      <c r="I41" s="28">
        <v>60</v>
      </c>
      <c r="J41" s="51">
        <f t="shared" si="4"/>
        <v>0</v>
      </c>
      <c r="K41" s="7">
        <f t="shared" si="5"/>
        <v>60</v>
      </c>
      <c r="N41" s="52">
        <f>K41</f>
        <v>60</v>
      </c>
      <c r="V41" s="61">
        <f t="shared" si="3"/>
        <v>0</v>
      </c>
      <c r="W41" s="61"/>
    </row>
    <row r="42" spans="5:23" x14ac:dyDescent="0.2">
      <c r="E42" s="6">
        <v>44826</v>
      </c>
      <c r="F42" t="s">
        <v>66</v>
      </c>
      <c r="G42" s="21">
        <v>1228</v>
      </c>
      <c r="I42" s="28">
        <v>750</v>
      </c>
      <c r="J42" s="51">
        <f t="shared" si="4"/>
        <v>0</v>
      </c>
      <c r="K42" s="7">
        <f t="shared" si="5"/>
        <v>750</v>
      </c>
      <c r="L42" s="7">
        <f>K42</f>
        <v>750</v>
      </c>
      <c r="V42" s="61">
        <f t="shared" si="3"/>
        <v>0</v>
      </c>
      <c r="W42" s="61"/>
    </row>
    <row r="43" spans="5:23" x14ac:dyDescent="0.2">
      <c r="E43" s="6">
        <v>44826</v>
      </c>
      <c r="F43" t="s">
        <v>67</v>
      </c>
      <c r="G43" s="21">
        <v>1228</v>
      </c>
      <c r="I43" s="28">
        <v>10.88</v>
      </c>
      <c r="J43" s="51">
        <f t="shared" si="4"/>
        <v>0</v>
      </c>
      <c r="K43" s="7">
        <f t="shared" si="5"/>
        <v>10.88</v>
      </c>
      <c r="T43" s="52">
        <f>K43</f>
        <v>10.88</v>
      </c>
      <c r="U43" s="52"/>
      <c r="V43" s="61">
        <f t="shared" si="3"/>
        <v>0</v>
      </c>
      <c r="W43" s="61"/>
    </row>
    <row r="44" spans="5:23" x14ac:dyDescent="0.2">
      <c r="E44" s="6">
        <v>44826</v>
      </c>
      <c r="F44" t="s">
        <v>41</v>
      </c>
      <c r="G44" s="21">
        <v>1229</v>
      </c>
      <c r="I44" s="28">
        <v>120</v>
      </c>
      <c r="J44" s="51">
        <f t="shared" si="4"/>
        <v>0</v>
      </c>
      <c r="K44" s="7">
        <f t="shared" si="5"/>
        <v>120</v>
      </c>
      <c r="M44" s="52">
        <f>K44</f>
        <v>120</v>
      </c>
      <c r="V44" s="61">
        <f t="shared" si="3"/>
        <v>0</v>
      </c>
      <c r="W44" s="61"/>
    </row>
    <row r="45" spans="5:23" x14ac:dyDescent="0.2">
      <c r="E45" s="6">
        <v>44826</v>
      </c>
      <c r="F45" t="s">
        <v>59</v>
      </c>
      <c r="G45" s="21">
        <v>1230</v>
      </c>
      <c r="I45" s="28">
        <v>97.49</v>
      </c>
      <c r="J45" s="51">
        <f t="shared" si="4"/>
        <v>0</v>
      </c>
      <c r="K45" s="7">
        <f t="shared" si="5"/>
        <v>97.49</v>
      </c>
      <c r="T45" s="52">
        <f>K45</f>
        <v>97.49</v>
      </c>
      <c r="U45" s="52"/>
      <c r="V45" s="61">
        <f t="shared" si="3"/>
        <v>0</v>
      </c>
      <c r="W45" s="61"/>
    </row>
    <row r="46" spans="5:23" x14ac:dyDescent="0.2">
      <c r="E46" s="6">
        <v>44826</v>
      </c>
      <c r="F46" t="s">
        <v>60</v>
      </c>
      <c r="G46" s="21">
        <v>1231</v>
      </c>
      <c r="H46" s="45" t="s">
        <v>61</v>
      </c>
      <c r="I46" s="28">
        <v>1538.94</v>
      </c>
      <c r="J46" s="173">
        <f t="shared" si="4"/>
        <v>-256.49</v>
      </c>
      <c r="K46" s="7">
        <f t="shared" si="5"/>
        <v>1282.45</v>
      </c>
      <c r="O46" s="52">
        <f>K46</f>
        <v>1282.45</v>
      </c>
      <c r="V46" s="61">
        <f t="shared" si="3"/>
        <v>0</v>
      </c>
      <c r="W46" s="61"/>
    </row>
    <row r="47" spans="5:23" x14ac:dyDescent="0.2">
      <c r="E47" s="6">
        <v>44826</v>
      </c>
      <c r="F47" t="s">
        <v>87</v>
      </c>
      <c r="G47" s="21">
        <v>1232</v>
      </c>
      <c r="H47" s="45" t="s">
        <v>49</v>
      </c>
      <c r="I47" s="28">
        <v>103.02</v>
      </c>
      <c r="J47" s="173">
        <f t="shared" si="4"/>
        <v>-17.169999999999998</v>
      </c>
      <c r="K47" s="7">
        <f t="shared" si="5"/>
        <v>85.85</v>
      </c>
      <c r="M47" s="7">
        <f>SUM(I47:J47)</f>
        <v>85.85</v>
      </c>
      <c r="T47" s="52"/>
      <c r="U47" s="52"/>
      <c r="V47" s="61">
        <f>SUM(L47:T47)-M47</f>
        <v>0</v>
      </c>
      <c r="W47" s="61"/>
    </row>
    <row r="48" spans="5:23" x14ac:dyDescent="0.2">
      <c r="E48" s="6">
        <v>44848</v>
      </c>
      <c r="F48" t="s">
        <v>62</v>
      </c>
      <c r="G48" s="21">
        <v>1233</v>
      </c>
      <c r="I48" s="28">
        <v>60</v>
      </c>
      <c r="J48" s="51">
        <f t="shared" si="4"/>
        <v>0</v>
      </c>
      <c r="K48" s="7">
        <f t="shared" si="5"/>
        <v>60</v>
      </c>
      <c r="R48" s="52">
        <f>K48</f>
        <v>60</v>
      </c>
      <c r="V48" s="61">
        <f t="shared" si="3"/>
        <v>0</v>
      </c>
      <c r="W48" s="61"/>
    </row>
    <row r="49" spans="5:23" x14ac:dyDescent="0.2">
      <c r="E49" s="6"/>
      <c r="F49" t="s">
        <v>32</v>
      </c>
      <c r="G49" s="21">
        <v>1234</v>
      </c>
      <c r="J49" s="51">
        <f t="shared" si="4"/>
        <v>0</v>
      </c>
      <c r="K49" s="7">
        <f t="shared" si="5"/>
        <v>0</v>
      </c>
      <c r="V49" s="61">
        <f t="shared" si="3"/>
        <v>0</v>
      </c>
      <c r="W49" s="61"/>
    </row>
    <row r="50" spans="5:23" x14ac:dyDescent="0.2">
      <c r="E50" s="6">
        <v>44848</v>
      </c>
      <c r="F50" t="s">
        <v>41</v>
      </c>
      <c r="G50" s="21">
        <v>1235</v>
      </c>
      <c r="I50" s="28">
        <v>60</v>
      </c>
      <c r="J50" s="51">
        <f>IF(H50="Y",-I50/6,0)</f>
        <v>0</v>
      </c>
      <c r="K50" s="7">
        <f>SUM(I50:J50)</f>
        <v>60</v>
      </c>
      <c r="M50" s="52">
        <f>K50</f>
        <v>60</v>
      </c>
      <c r="V50" s="61">
        <f>SUM(L50:T50)-K50</f>
        <v>0</v>
      </c>
      <c r="W50" s="61"/>
    </row>
    <row r="51" spans="5:23" x14ac:dyDescent="0.2">
      <c r="E51" s="6">
        <v>44848</v>
      </c>
      <c r="F51" t="s">
        <v>53</v>
      </c>
      <c r="G51" s="21">
        <v>1236</v>
      </c>
      <c r="I51" s="28">
        <v>75</v>
      </c>
      <c r="J51" s="51">
        <f t="shared" si="4"/>
        <v>0</v>
      </c>
      <c r="K51" s="7">
        <f t="shared" si="5"/>
        <v>75</v>
      </c>
      <c r="N51" s="52">
        <f>K51</f>
        <v>75</v>
      </c>
      <c r="V51" s="61">
        <f t="shared" si="3"/>
        <v>0</v>
      </c>
      <c r="W51" s="61"/>
    </row>
    <row r="52" spans="5:23" x14ac:dyDescent="0.2">
      <c r="E52" s="6">
        <v>44855</v>
      </c>
      <c r="F52" t="s">
        <v>64</v>
      </c>
      <c r="G52" s="24" t="s">
        <v>63</v>
      </c>
      <c r="I52" s="28">
        <v>35</v>
      </c>
      <c r="J52" s="51">
        <f t="shared" si="4"/>
        <v>0</v>
      </c>
      <c r="K52" s="7">
        <f t="shared" si="5"/>
        <v>35</v>
      </c>
      <c r="T52" s="52">
        <f>K52</f>
        <v>35</v>
      </c>
      <c r="U52" s="52"/>
      <c r="V52" s="61">
        <f t="shared" si="3"/>
        <v>0</v>
      </c>
      <c r="W52" s="61"/>
    </row>
    <row r="53" spans="5:23" x14ac:dyDescent="0.2">
      <c r="E53" s="6">
        <v>44882</v>
      </c>
      <c r="F53" t="s">
        <v>83</v>
      </c>
      <c r="G53" s="24">
        <v>1237</v>
      </c>
      <c r="I53" s="28">
        <v>67.56</v>
      </c>
      <c r="J53" s="51">
        <f t="shared" si="4"/>
        <v>0</v>
      </c>
      <c r="K53" s="7">
        <f t="shared" si="5"/>
        <v>67.56</v>
      </c>
      <c r="T53" s="52">
        <v>67.56</v>
      </c>
      <c r="U53" s="52"/>
      <c r="V53" s="61">
        <f t="shared" si="3"/>
        <v>0</v>
      </c>
      <c r="W53" s="61"/>
    </row>
    <row r="54" spans="5:23" x14ac:dyDescent="0.2">
      <c r="E54" s="6">
        <v>44882</v>
      </c>
      <c r="F54" t="s">
        <v>37</v>
      </c>
      <c r="G54" s="24">
        <v>1238</v>
      </c>
      <c r="I54" s="28">
        <v>53.2</v>
      </c>
      <c r="J54" s="51">
        <f t="shared" si="4"/>
        <v>0</v>
      </c>
      <c r="K54" s="28">
        <f t="shared" si="5"/>
        <v>53.2</v>
      </c>
      <c r="L54" s="28"/>
      <c r="M54" s="66">
        <v>53.2</v>
      </c>
      <c r="N54" s="66"/>
      <c r="O54" s="66"/>
      <c r="P54" s="66"/>
      <c r="Q54" s="66"/>
      <c r="R54" s="66"/>
      <c r="S54" s="66"/>
      <c r="T54" s="66"/>
      <c r="U54" s="66"/>
      <c r="V54" s="61">
        <f t="shared" si="3"/>
        <v>0</v>
      </c>
      <c r="W54" s="61"/>
    </row>
    <row r="55" spans="5:23" x14ac:dyDescent="0.2">
      <c r="E55" s="6">
        <v>44882</v>
      </c>
      <c r="F55" t="s">
        <v>122</v>
      </c>
      <c r="G55" s="24">
        <v>1239</v>
      </c>
      <c r="H55" s="45" t="s">
        <v>49</v>
      </c>
      <c r="I55" s="28">
        <v>117.6</v>
      </c>
      <c r="J55" s="51">
        <f t="shared" si="4"/>
        <v>-19.599999999999998</v>
      </c>
      <c r="K55" s="28">
        <f t="shared" si="5"/>
        <v>98</v>
      </c>
      <c r="L55" s="28"/>
      <c r="M55" s="66">
        <v>98</v>
      </c>
      <c r="N55" s="66"/>
      <c r="O55" s="66"/>
      <c r="P55" s="66"/>
      <c r="Q55" s="66"/>
      <c r="R55" s="66"/>
      <c r="S55" s="66"/>
      <c r="T55" s="66"/>
      <c r="U55" s="66"/>
      <c r="V55" s="61">
        <f t="shared" si="3"/>
        <v>0</v>
      </c>
      <c r="W55" s="61"/>
    </row>
    <row r="56" spans="5:23" x14ac:dyDescent="0.2">
      <c r="E56" s="6">
        <v>44882</v>
      </c>
      <c r="F56" t="s">
        <v>53</v>
      </c>
      <c r="G56" s="24">
        <v>1240</v>
      </c>
      <c r="I56" s="28">
        <v>60</v>
      </c>
      <c r="J56" s="51">
        <f t="shared" si="4"/>
        <v>0</v>
      </c>
      <c r="K56" s="28">
        <f t="shared" si="5"/>
        <v>60</v>
      </c>
      <c r="L56" s="28"/>
      <c r="M56" s="66"/>
      <c r="N56" s="66">
        <v>60</v>
      </c>
      <c r="O56" s="66"/>
      <c r="P56" s="66"/>
      <c r="Q56" s="66"/>
      <c r="R56" s="66"/>
      <c r="S56" s="66"/>
      <c r="T56" s="66"/>
      <c r="U56" s="66"/>
      <c r="V56" s="61">
        <f t="shared" si="3"/>
        <v>0</v>
      </c>
      <c r="W56" s="61"/>
    </row>
    <row r="57" spans="5:23" x14ac:dyDescent="0.2">
      <c r="E57" s="6">
        <v>44882</v>
      </c>
      <c r="F57" t="s">
        <v>41</v>
      </c>
      <c r="G57" s="24">
        <v>1241</v>
      </c>
      <c r="I57" s="28">
        <v>75</v>
      </c>
      <c r="J57" s="51">
        <f t="shared" si="4"/>
        <v>0</v>
      </c>
      <c r="K57" s="28">
        <f t="shared" si="5"/>
        <v>75</v>
      </c>
      <c r="L57" s="28"/>
      <c r="M57" s="66">
        <v>75</v>
      </c>
      <c r="N57" s="66"/>
      <c r="O57" s="66"/>
      <c r="P57" s="66"/>
      <c r="Q57" s="66"/>
      <c r="R57" s="66"/>
      <c r="S57" s="66"/>
      <c r="T57" s="66"/>
      <c r="U57" s="66"/>
      <c r="V57" s="61">
        <f t="shared" si="3"/>
        <v>0</v>
      </c>
      <c r="W57" s="61"/>
    </row>
    <row r="58" spans="5:23" x14ac:dyDescent="0.2">
      <c r="E58" s="6">
        <v>44882</v>
      </c>
      <c r="F58" t="s">
        <v>85</v>
      </c>
      <c r="G58" s="24">
        <v>1242</v>
      </c>
      <c r="I58" s="28">
        <v>69.58</v>
      </c>
      <c r="J58" s="51">
        <f t="shared" si="4"/>
        <v>0</v>
      </c>
      <c r="K58" s="28">
        <f t="shared" si="5"/>
        <v>69.58</v>
      </c>
      <c r="L58" s="28"/>
      <c r="M58" s="66"/>
      <c r="N58" s="66"/>
      <c r="O58" s="66"/>
      <c r="P58" s="66"/>
      <c r="Q58" s="66"/>
      <c r="R58" s="66">
        <v>69.58</v>
      </c>
      <c r="S58" s="67" t="s">
        <v>86</v>
      </c>
      <c r="T58" s="66"/>
      <c r="U58" s="66"/>
      <c r="V58" s="61">
        <f t="shared" si="3"/>
        <v>0</v>
      </c>
      <c r="W58" s="61"/>
    </row>
    <row r="59" spans="5:23" x14ac:dyDescent="0.2">
      <c r="E59" s="6">
        <v>44882</v>
      </c>
      <c r="F59" t="s">
        <v>36</v>
      </c>
      <c r="G59" s="24">
        <v>1206</v>
      </c>
      <c r="I59" s="28">
        <v>-75</v>
      </c>
      <c r="J59" s="51">
        <f t="shared" si="4"/>
        <v>0</v>
      </c>
      <c r="K59" s="28">
        <f t="shared" si="5"/>
        <v>-75</v>
      </c>
      <c r="L59" s="28"/>
      <c r="M59" s="66"/>
      <c r="N59" s="66"/>
      <c r="O59" s="66"/>
      <c r="P59" s="66"/>
      <c r="Q59" s="66"/>
      <c r="R59" s="66"/>
      <c r="S59" s="66">
        <v>-75</v>
      </c>
      <c r="T59" s="66"/>
      <c r="U59" s="66"/>
      <c r="V59" s="61">
        <f t="shared" si="3"/>
        <v>0</v>
      </c>
      <c r="W59" s="61"/>
    </row>
    <row r="60" spans="5:23" x14ac:dyDescent="0.2">
      <c r="E60" s="6">
        <v>44882</v>
      </c>
      <c r="F60" t="s">
        <v>41</v>
      </c>
      <c r="G60" s="24">
        <v>1243</v>
      </c>
      <c r="I60" s="28">
        <v>75</v>
      </c>
      <c r="J60" s="51">
        <f t="shared" si="4"/>
        <v>0</v>
      </c>
      <c r="K60" s="28">
        <f t="shared" si="5"/>
        <v>75</v>
      </c>
      <c r="L60" s="28"/>
      <c r="M60" s="66"/>
      <c r="N60" s="66"/>
      <c r="O60" s="66"/>
      <c r="P60" s="66"/>
      <c r="Q60" s="66"/>
      <c r="R60" s="66"/>
      <c r="S60" s="66">
        <v>75</v>
      </c>
      <c r="T60" s="66"/>
      <c r="U60" s="66"/>
      <c r="V60" s="61">
        <f t="shared" si="3"/>
        <v>0</v>
      </c>
      <c r="W60" s="61"/>
    </row>
    <row r="61" spans="5:23" x14ac:dyDescent="0.2">
      <c r="E61" s="6">
        <v>44882</v>
      </c>
      <c r="F61" t="s">
        <v>36</v>
      </c>
      <c r="G61" s="24">
        <v>1218</v>
      </c>
      <c r="I61" s="28">
        <v>-60</v>
      </c>
      <c r="J61" s="51">
        <f t="shared" si="4"/>
        <v>0</v>
      </c>
      <c r="K61" s="28">
        <f t="shared" si="5"/>
        <v>-60</v>
      </c>
      <c r="L61" s="28"/>
      <c r="M61" s="66"/>
      <c r="N61" s="66"/>
      <c r="O61" s="66"/>
      <c r="P61" s="66"/>
      <c r="Q61" s="66"/>
      <c r="R61" s="66"/>
      <c r="S61" s="66">
        <v>-60</v>
      </c>
      <c r="T61" s="66"/>
      <c r="U61" s="66"/>
      <c r="V61" s="61">
        <f t="shared" si="3"/>
        <v>0</v>
      </c>
      <c r="W61" s="61"/>
    </row>
    <row r="62" spans="5:23" x14ac:dyDescent="0.2">
      <c r="E62" s="6">
        <v>44882</v>
      </c>
      <c r="F62" t="s">
        <v>41</v>
      </c>
      <c r="G62" s="24">
        <v>1244</v>
      </c>
      <c r="I62" s="28">
        <v>60</v>
      </c>
      <c r="J62" s="51">
        <f t="shared" si="4"/>
        <v>0</v>
      </c>
      <c r="K62" s="28">
        <f t="shared" si="5"/>
        <v>60</v>
      </c>
      <c r="L62" s="28"/>
      <c r="M62" s="66"/>
      <c r="N62" s="66"/>
      <c r="O62" s="66"/>
      <c r="P62" s="66"/>
      <c r="Q62" s="66"/>
      <c r="R62" s="66"/>
      <c r="S62" s="66">
        <v>60</v>
      </c>
      <c r="T62" s="66"/>
      <c r="U62" s="66"/>
      <c r="V62" s="61">
        <f t="shared" si="3"/>
        <v>0</v>
      </c>
      <c r="W62" s="61"/>
    </row>
    <row r="63" spans="5:23" x14ac:dyDescent="0.2">
      <c r="E63" s="6"/>
      <c r="F63" t="s">
        <v>101</v>
      </c>
      <c r="G63" s="24"/>
      <c r="I63" s="28">
        <f>-I55</f>
        <v>-117.6</v>
      </c>
      <c r="J63" s="51">
        <f t="shared" ref="J63:K63" si="7">-J55</f>
        <v>19.599999999999998</v>
      </c>
      <c r="K63" s="28">
        <f t="shared" si="7"/>
        <v>-98</v>
      </c>
      <c r="L63" s="28"/>
      <c r="M63" s="66"/>
      <c r="N63" s="66"/>
      <c r="O63" s="66"/>
      <c r="P63" s="66"/>
      <c r="Q63" s="66"/>
      <c r="R63" s="66"/>
      <c r="S63" s="66"/>
      <c r="T63" s="66"/>
      <c r="U63" s="66"/>
      <c r="V63" s="61">
        <f t="shared" si="3"/>
        <v>98</v>
      </c>
      <c r="W63" s="61"/>
    </row>
    <row r="64" spans="5:23" x14ac:dyDescent="0.2">
      <c r="E64" s="6">
        <v>44938</v>
      </c>
      <c r="F64" t="s">
        <v>100</v>
      </c>
      <c r="G64" s="24">
        <v>1245</v>
      </c>
      <c r="H64" s="45" t="s">
        <v>49</v>
      </c>
      <c r="I64" s="28">
        <f>-I63</f>
        <v>117.6</v>
      </c>
      <c r="J64" s="51">
        <f t="shared" ref="J64" si="8">IF(H64="Y",-I64/6,0)</f>
        <v>-19.599999999999998</v>
      </c>
      <c r="K64" s="28">
        <f t="shared" ref="K64" si="9">SUM(I64:J64)</f>
        <v>98</v>
      </c>
      <c r="L64" s="28"/>
      <c r="M64" s="66"/>
      <c r="N64" s="66"/>
      <c r="O64" s="66"/>
      <c r="P64" s="66"/>
      <c r="Q64" s="66"/>
      <c r="R64" s="66"/>
      <c r="S64" s="66"/>
      <c r="T64" s="66"/>
      <c r="U64" s="66"/>
      <c r="V64" s="61">
        <f t="shared" si="3"/>
        <v>-98</v>
      </c>
      <c r="W64" s="61"/>
    </row>
    <row r="65" spans="3:23" x14ac:dyDescent="0.2">
      <c r="E65" s="6">
        <v>44938</v>
      </c>
      <c r="F65" t="s">
        <v>102</v>
      </c>
      <c r="G65" s="24">
        <v>1246</v>
      </c>
      <c r="H65" s="45" t="s">
        <v>49</v>
      </c>
      <c r="I65" s="28">
        <v>352.8</v>
      </c>
      <c r="J65" s="51">
        <f t="shared" ref="J65:J68" si="10">IF(H65="Y",-I65/6,0)</f>
        <v>-58.800000000000004</v>
      </c>
      <c r="K65" s="28">
        <f t="shared" si="5"/>
        <v>294</v>
      </c>
      <c r="L65" s="28"/>
      <c r="M65" s="66"/>
      <c r="N65" s="66"/>
      <c r="O65" s="66"/>
      <c r="P65" s="66"/>
      <c r="Q65" s="66">
        <f>K65</f>
        <v>294</v>
      </c>
      <c r="R65" s="66"/>
      <c r="S65" s="66"/>
      <c r="T65" s="66"/>
      <c r="U65" s="66"/>
      <c r="V65" s="61">
        <f t="shared" si="3"/>
        <v>0</v>
      </c>
      <c r="W65" s="61"/>
    </row>
    <row r="66" spans="3:23" x14ac:dyDescent="0.2">
      <c r="E66" s="6">
        <v>44938</v>
      </c>
      <c r="F66" t="s">
        <v>41</v>
      </c>
      <c r="G66" s="24">
        <v>1247</v>
      </c>
      <c r="I66" s="28">
        <v>60</v>
      </c>
      <c r="J66" s="51">
        <f t="shared" si="10"/>
        <v>0</v>
      </c>
      <c r="K66" s="28">
        <f t="shared" si="5"/>
        <v>60</v>
      </c>
      <c r="L66" s="28"/>
      <c r="M66" s="66">
        <f>K66</f>
        <v>60</v>
      </c>
      <c r="N66" s="66"/>
      <c r="O66" s="66"/>
      <c r="P66" s="66"/>
      <c r="Q66" s="66"/>
      <c r="R66" s="66"/>
      <c r="S66" s="66"/>
      <c r="T66" s="66"/>
      <c r="U66" s="66"/>
      <c r="V66" s="61"/>
      <c r="W66" s="61"/>
    </row>
    <row r="67" spans="3:23" x14ac:dyDescent="0.2">
      <c r="E67" s="6">
        <v>44938</v>
      </c>
      <c r="F67" t="s">
        <v>53</v>
      </c>
      <c r="G67" s="24">
        <v>1248</v>
      </c>
      <c r="I67" s="28">
        <v>90</v>
      </c>
      <c r="J67" s="51">
        <f t="shared" si="10"/>
        <v>0</v>
      </c>
      <c r="K67" s="28">
        <f t="shared" si="5"/>
        <v>90</v>
      </c>
      <c r="L67" s="28"/>
      <c r="M67" s="66"/>
      <c r="N67" s="66">
        <f>K67</f>
        <v>90</v>
      </c>
      <c r="O67" s="66"/>
      <c r="P67" s="66"/>
      <c r="Q67" s="66"/>
      <c r="R67" s="66"/>
      <c r="S67" s="66"/>
      <c r="T67" s="66"/>
      <c r="U67" s="66"/>
      <c r="V67" s="61"/>
      <c r="W67" s="61"/>
    </row>
    <row r="68" spans="3:23" x14ac:dyDescent="0.2">
      <c r="E68" s="6">
        <v>44950</v>
      </c>
      <c r="F68" t="s">
        <v>104</v>
      </c>
      <c r="G68" s="24" t="s">
        <v>63</v>
      </c>
      <c r="I68" s="28">
        <v>36</v>
      </c>
      <c r="J68" s="51">
        <f t="shared" si="10"/>
        <v>0</v>
      </c>
      <c r="K68" s="28">
        <f t="shared" si="5"/>
        <v>36</v>
      </c>
      <c r="L68" s="28"/>
      <c r="M68" s="66"/>
      <c r="N68" s="66"/>
      <c r="O68" s="66"/>
      <c r="P68" s="66"/>
      <c r="Q68" s="66"/>
      <c r="R68" s="66"/>
      <c r="T68" s="66">
        <v>36</v>
      </c>
      <c r="U68" s="66"/>
      <c r="V68" s="61"/>
      <c r="W68" s="61"/>
    </row>
    <row r="69" spans="3:23" x14ac:dyDescent="0.2">
      <c r="E69" s="6">
        <v>44973</v>
      </c>
      <c r="F69" t="s">
        <v>102</v>
      </c>
      <c r="G69" s="24">
        <v>1249</v>
      </c>
      <c r="H69" s="45" t="s">
        <v>61</v>
      </c>
      <c r="I69" s="28">
        <v>117.6</v>
      </c>
      <c r="J69" s="51">
        <f t="shared" ref="J69:J85" si="11">IF(H69="Y",-I69/6,0)</f>
        <v>-19.599999999999998</v>
      </c>
      <c r="K69" s="28">
        <f t="shared" ref="K69:K85" si="12">SUM(I69:J69)</f>
        <v>98</v>
      </c>
      <c r="L69" s="28"/>
      <c r="M69" s="66"/>
      <c r="N69" s="66"/>
      <c r="O69" s="66"/>
      <c r="P69" s="66"/>
      <c r="Q69" s="66">
        <f>K69</f>
        <v>98</v>
      </c>
      <c r="R69" s="66"/>
      <c r="S69" s="66"/>
      <c r="T69" s="66"/>
      <c r="U69" s="66"/>
      <c r="V69" s="61"/>
      <c r="W69" s="61"/>
    </row>
    <row r="70" spans="3:23" x14ac:dyDescent="0.2">
      <c r="E70" s="6">
        <v>44973</v>
      </c>
      <c r="F70" t="s">
        <v>53</v>
      </c>
      <c r="G70" s="24">
        <v>1250</v>
      </c>
      <c r="I70" s="28">
        <v>75</v>
      </c>
      <c r="J70" s="51">
        <f t="shared" si="11"/>
        <v>0</v>
      </c>
      <c r="K70" s="28">
        <f t="shared" si="12"/>
        <v>75</v>
      </c>
      <c r="L70" s="28"/>
      <c r="M70" s="66"/>
      <c r="N70" s="66">
        <f>K70</f>
        <v>75</v>
      </c>
      <c r="O70" s="66"/>
      <c r="P70" s="66"/>
      <c r="Q70" s="66"/>
      <c r="R70" s="66"/>
      <c r="S70" s="66"/>
      <c r="T70" s="66"/>
      <c r="U70" s="66"/>
      <c r="V70" s="61"/>
      <c r="W70" s="61"/>
    </row>
    <row r="71" spans="3:23" x14ac:dyDescent="0.2">
      <c r="E71" s="6">
        <v>44973</v>
      </c>
      <c r="F71" t="s">
        <v>41</v>
      </c>
      <c r="G71" s="24">
        <v>1251</v>
      </c>
      <c r="I71" s="28">
        <v>90</v>
      </c>
      <c r="J71" s="51">
        <f t="shared" si="11"/>
        <v>0</v>
      </c>
      <c r="K71" s="28">
        <f t="shared" si="12"/>
        <v>90</v>
      </c>
      <c r="L71" s="28"/>
      <c r="M71" s="66">
        <f>K71</f>
        <v>90</v>
      </c>
      <c r="N71" s="66"/>
      <c r="O71" s="66"/>
      <c r="P71" s="66"/>
      <c r="Q71" s="66"/>
      <c r="R71" s="66"/>
      <c r="S71" s="66"/>
      <c r="T71" s="66"/>
      <c r="U71" s="66"/>
      <c r="V71" s="61">
        <f t="shared" si="3"/>
        <v>0</v>
      </c>
      <c r="W71" s="61"/>
    </row>
    <row r="72" spans="3:23" x14ac:dyDescent="0.2">
      <c r="E72" s="6">
        <v>44973</v>
      </c>
      <c r="F72" t="s">
        <v>66</v>
      </c>
      <c r="G72" s="21">
        <v>1252</v>
      </c>
      <c r="I72" s="28">
        <v>750</v>
      </c>
      <c r="J72" s="51">
        <f t="shared" si="11"/>
        <v>0</v>
      </c>
      <c r="K72" s="28">
        <f t="shared" si="12"/>
        <v>750</v>
      </c>
      <c r="L72" s="28">
        <f>K72</f>
        <v>750</v>
      </c>
      <c r="M72" s="66"/>
      <c r="N72" s="66"/>
      <c r="O72" s="66"/>
      <c r="P72" s="66"/>
      <c r="Q72" s="66"/>
      <c r="R72" s="66"/>
      <c r="S72" s="66"/>
      <c r="T72" s="66"/>
      <c r="U72" s="66"/>
      <c r="V72" s="61"/>
      <c r="W72" s="61"/>
    </row>
    <row r="73" spans="3:23" x14ac:dyDescent="0.2">
      <c r="E73" s="6">
        <v>44973</v>
      </c>
      <c r="F73" t="s">
        <v>67</v>
      </c>
      <c r="G73" s="24">
        <v>1253</v>
      </c>
      <c r="I73" s="28">
        <v>5.44</v>
      </c>
      <c r="J73" s="51">
        <f t="shared" si="11"/>
        <v>0</v>
      </c>
      <c r="K73" s="28">
        <f t="shared" si="12"/>
        <v>5.44</v>
      </c>
      <c r="L73" s="28"/>
      <c r="M73" s="66"/>
      <c r="N73" s="66"/>
      <c r="O73" s="66"/>
      <c r="P73" s="66"/>
      <c r="Q73" s="66"/>
      <c r="R73" s="66"/>
      <c r="S73" s="66"/>
      <c r="T73" s="66">
        <f>K73</f>
        <v>5.44</v>
      </c>
      <c r="U73" s="66"/>
      <c r="V73" s="61"/>
      <c r="W73" s="61"/>
    </row>
    <row r="74" spans="3:23" x14ac:dyDescent="0.2">
      <c r="C74" s="16">
        <f>I74</f>
        <v>60</v>
      </c>
      <c r="E74" s="6">
        <v>45001</v>
      </c>
      <c r="F74" t="s">
        <v>53</v>
      </c>
      <c r="G74" s="24">
        <v>1254</v>
      </c>
      <c r="I74" s="28">
        <v>60</v>
      </c>
      <c r="J74" s="51">
        <f t="shared" si="11"/>
        <v>0</v>
      </c>
      <c r="K74" s="28">
        <f t="shared" si="12"/>
        <v>60</v>
      </c>
      <c r="L74" s="28"/>
      <c r="M74" s="66"/>
      <c r="N74" s="66">
        <v>60</v>
      </c>
      <c r="O74" s="66"/>
      <c r="P74" s="66"/>
      <c r="Q74" s="66"/>
      <c r="R74" s="66"/>
      <c r="S74" s="66"/>
      <c r="T74" s="66"/>
      <c r="U74" s="66"/>
      <c r="V74" s="61"/>
      <c r="W74" s="61"/>
    </row>
    <row r="75" spans="3:23" x14ac:dyDescent="0.2">
      <c r="E75" s="6">
        <v>45001</v>
      </c>
      <c r="F75" t="s">
        <v>41</v>
      </c>
      <c r="G75" s="24">
        <v>1255</v>
      </c>
      <c r="I75" s="28">
        <v>60</v>
      </c>
      <c r="J75" s="51">
        <f t="shared" ref="J75:J83" si="13">IF(H75="Y",-I75/6,0)</f>
        <v>0</v>
      </c>
      <c r="K75" s="28">
        <f t="shared" ref="K75:K83" si="14">SUM(I75:J75)</f>
        <v>60</v>
      </c>
      <c r="L75" s="28"/>
      <c r="M75" s="66">
        <v>60</v>
      </c>
      <c r="N75" s="66"/>
      <c r="O75" s="66"/>
      <c r="P75" s="66"/>
      <c r="Q75" s="66"/>
      <c r="R75" s="66"/>
      <c r="S75" s="66"/>
      <c r="T75" s="66"/>
      <c r="U75" s="66"/>
      <c r="V75" s="61"/>
      <c r="W75" s="61"/>
    </row>
    <row r="76" spans="3:23" x14ac:dyDescent="0.2">
      <c r="E76" s="6">
        <v>45001</v>
      </c>
      <c r="F76" t="s">
        <v>25</v>
      </c>
      <c r="G76" s="24">
        <v>1256</v>
      </c>
      <c r="H76" s="45" t="s">
        <v>61</v>
      </c>
      <c r="I76" s="28">
        <v>181.2</v>
      </c>
      <c r="J76" s="51">
        <f>IF(H76="Y",-I76/6,0)</f>
        <v>-30.2</v>
      </c>
      <c r="K76" s="28">
        <f>SUM(I76:J76)</f>
        <v>151</v>
      </c>
      <c r="L76" s="28"/>
      <c r="M76" s="66">
        <f>K76</f>
        <v>151</v>
      </c>
      <c r="N76" s="66"/>
      <c r="O76" s="66"/>
      <c r="P76" s="66"/>
      <c r="Q76" s="66"/>
      <c r="R76" s="66"/>
      <c r="S76" s="66"/>
      <c r="T76" s="66"/>
      <c r="U76" s="66"/>
      <c r="V76" s="61"/>
      <c r="W76" s="61"/>
    </row>
    <row r="77" spans="3:23" x14ac:dyDescent="0.2">
      <c r="C77" s="16">
        <f>I77</f>
        <v>750</v>
      </c>
      <c r="E77" s="6">
        <v>45001</v>
      </c>
      <c r="F77" t="s">
        <v>66</v>
      </c>
      <c r="G77" s="24">
        <v>1257</v>
      </c>
      <c r="I77" s="28">
        <v>750</v>
      </c>
      <c r="J77" s="51">
        <f t="shared" si="13"/>
        <v>0</v>
      </c>
      <c r="K77" s="28">
        <f t="shared" si="14"/>
        <v>750</v>
      </c>
      <c r="L77" s="28">
        <v>750</v>
      </c>
      <c r="M77" s="66"/>
      <c r="N77" s="66"/>
      <c r="O77" s="66"/>
      <c r="P77" s="66"/>
      <c r="Q77" s="66"/>
      <c r="R77" s="66"/>
      <c r="S77" s="66"/>
      <c r="T77" s="66"/>
      <c r="U77" s="66"/>
      <c r="V77" s="61"/>
      <c r="W77" s="61"/>
    </row>
    <row r="78" spans="3:23" x14ac:dyDescent="0.2">
      <c r="E78" s="6">
        <v>45001</v>
      </c>
      <c r="F78" s="25" t="s">
        <v>117</v>
      </c>
      <c r="G78" s="24">
        <v>1258</v>
      </c>
      <c r="I78" s="28">
        <v>234</v>
      </c>
      <c r="J78" s="51">
        <f>IF(H78="Y",-I78/6,0)</f>
        <v>0</v>
      </c>
      <c r="K78" s="28">
        <f>SUM(I78:J78)</f>
        <v>234</v>
      </c>
      <c r="L78" s="28">
        <f>K78</f>
        <v>234</v>
      </c>
      <c r="M78" s="66"/>
      <c r="N78" s="66"/>
      <c r="O78" s="66"/>
      <c r="P78" s="66"/>
      <c r="Q78" s="66"/>
      <c r="R78" s="66"/>
      <c r="S78" s="66"/>
      <c r="T78" s="66"/>
      <c r="U78" s="66"/>
      <c r="V78" s="61"/>
      <c r="W78" s="61"/>
    </row>
    <row r="79" spans="3:23" x14ac:dyDescent="0.2">
      <c r="E79" s="6">
        <v>45001</v>
      </c>
      <c r="F79" t="s">
        <v>118</v>
      </c>
      <c r="G79" s="24">
        <v>1259</v>
      </c>
      <c r="H79" s="45" t="s">
        <v>61</v>
      </c>
      <c r="I79" s="28">
        <v>31.18</v>
      </c>
      <c r="J79" s="51">
        <f>IF(H79="Y",-I79/6,0)</f>
        <v>-5.1966666666666663</v>
      </c>
      <c r="K79" s="28">
        <f>SUM(I79:J79)</f>
        <v>25.983333333333334</v>
      </c>
      <c r="L79" s="28"/>
      <c r="M79" s="66"/>
      <c r="N79" s="66"/>
      <c r="O79" s="66">
        <f>K79</f>
        <v>25.983333333333334</v>
      </c>
      <c r="P79" s="66"/>
      <c r="Q79" s="66"/>
      <c r="R79" s="66"/>
      <c r="S79" s="66"/>
      <c r="T79" s="66"/>
      <c r="U79" s="66"/>
      <c r="V79" s="61"/>
      <c r="W79" s="61"/>
    </row>
    <row r="80" spans="3:23" x14ac:dyDescent="0.2">
      <c r="E80" s="6">
        <v>45001</v>
      </c>
      <c r="F80" s="25" t="s">
        <v>119</v>
      </c>
      <c r="G80" s="24">
        <v>1260</v>
      </c>
      <c r="H80" s="45" t="s">
        <v>49</v>
      </c>
      <c r="I80" s="28">
        <v>374.4</v>
      </c>
      <c r="J80" s="51">
        <f t="shared" si="13"/>
        <v>-62.4</v>
      </c>
      <c r="K80" s="28">
        <f t="shared" si="14"/>
        <v>312</v>
      </c>
      <c r="L80" s="28"/>
      <c r="M80" s="66">
        <f>K80</f>
        <v>312</v>
      </c>
      <c r="N80" s="66"/>
      <c r="O80" s="66"/>
      <c r="P80" s="66"/>
      <c r="Q80" s="66"/>
      <c r="R80" s="66"/>
      <c r="S80" s="66"/>
      <c r="T80" s="66"/>
      <c r="U80" s="66"/>
      <c r="V80" s="61"/>
      <c r="W80" s="61"/>
    </row>
    <row r="81" spans="2:49" x14ac:dyDescent="0.2">
      <c r="C81" s="16">
        <f>I81</f>
        <v>420</v>
      </c>
      <c r="E81" s="6">
        <v>45001</v>
      </c>
      <c r="F81" t="s">
        <v>60</v>
      </c>
      <c r="G81" s="24">
        <v>1261</v>
      </c>
      <c r="H81" s="45" t="s">
        <v>61</v>
      </c>
      <c r="I81" s="28">
        <v>420</v>
      </c>
      <c r="J81" s="51">
        <f>IF(H81="Y",-I81/6,0)</f>
        <v>-70</v>
      </c>
      <c r="K81" s="28">
        <f>SUM(I81:J81)</f>
        <v>350</v>
      </c>
      <c r="L81" s="28"/>
      <c r="M81" s="66">
        <f>K81</f>
        <v>350</v>
      </c>
      <c r="N81" s="66"/>
      <c r="O81" s="66"/>
      <c r="P81" s="66"/>
      <c r="Q81" s="66"/>
      <c r="R81" s="66"/>
      <c r="S81" s="66"/>
      <c r="T81" s="66"/>
      <c r="U81" s="66"/>
      <c r="V81" s="61"/>
      <c r="W81" s="61"/>
    </row>
    <row r="82" spans="2:49" s="25" customFormat="1" x14ac:dyDescent="0.2">
      <c r="B82" s="164"/>
      <c r="C82" s="16">
        <f>I82</f>
        <v>612</v>
      </c>
      <c r="E82" s="6">
        <v>45001</v>
      </c>
      <c r="F82" s="25" t="s">
        <v>121</v>
      </c>
      <c r="G82" s="24">
        <v>1262</v>
      </c>
      <c r="H82" s="169" t="s">
        <v>61</v>
      </c>
      <c r="I82" s="51">
        <v>612</v>
      </c>
      <c r="J82" s="51">
        <f t="shared" si="13"/>
        <v>-102</v>
      </c>
      <c r="K82" s="51">
        <f t="shared" si="14"/>
        <v>510</v>
      </c>
      <c r="L82" s="51"/>
      <c r="M82" s="170">
        <f>K82</f>
        <v>510</v>
      </c>
      <c r="N82" s="170"/>
      <c r="O82" s="170"/>
      <c r="P82" s="170"/>
      <c r="Q82" s="170"/>
      <c r="R82" s="170"/>
      <c r="S82" s="170"/>
      <c r="T82" s="170"/>
      <c r="U82" s="170"/>
      <c r="V82" s="170"/>
      <c r="W82" s="170"/>
      <c r="X82" s="121"/>
      <c r="Y82" s="121"/>
      <c r="Z82" s="121"/>
      <c r="AA82" s="121"/>
      <c r="AF82" s="171"/>
      <c r="AH82" s="171"/>
      <c r="AW82" s="172"/>
    </row>
    <row r="83" spans="2:49" x14ac:dyDescent="0.2">
      <c r="E83" s="6"/>
      <c r="G83" s="24"/>
      <c r="J83" s="51">
        <f t="shared" si="13"/>
        <v>0</v>
      </c>
      <c r="K83" s="28">
        <f t="shared" si="14"/>
        <v>0</v>
      </c>
      <c r="L83" s="28"/>
      <c r="M83" s="66"/>
      <c r="N83" s="66"/>
      <c r="O83" s="66"/>
      <c r="P83" s="66"/>
      <c r="Q83" s="66"/>
      <c r="R83" s="66"/>
      <c r="S83" s="66"/>
      <c r="T83" s="66"/>
      <c r="U83" s="66"/>
      <c r="V83" s="61"/>
      <c r="W83" s="61"/>
    </row>
    <row r="84" spans="2:49" x14ac:dyDescent="0.2">
      <c r="E84" s="6"/>
      <c r="G84" s="24"/>
      <c r="J84" s="51">
        <f t="shared" si="11"/>
        <v>0</v>
      </c>
      <c r="K84" s="28">
        <f t="shared" si="12"/>
        <v>0</v>
      </c>
      <c r="L84" s="28"/>
      <c r="M84" s="66"/>
      <c r="N84" s="66"/>
      <c r="O84" s="66"/>
      <c r="P84" s="66"/>
      <c r="Q84" s="66"/>
      <c r="R84" s="66"/>
      <c r="S84" s="66"/>
      <c r="T84" s="66"/>
      <c r="U84" s="66"/>
      <c r="V84" s="61"/>
      <c r="W84" s="61"/>
    </row>
    <row r="85" spans="2:49" x14ac:dyDescent="0.2">
      <c r="C85" s="16">
        <f>-J85</f>
        <v>0</v>
      </c>
      <c r="J85" s="51">
        <f t="shared" si="11"/>
        <v>0</v>
      </c>
      <c r="K85" s="28">
        <f t="shared" si="12"/>
        <v>0</v>
      </c>
      <c r="L85" s="28"/>
      <c r="M85" s="66"/>
      <c r="N85" s="66"/>
      <c r="O85" s="66"/>
      <c r="P85" s="66"/>
      <c r="Q85" s="66"/>
      <c r="R85" s="66"/>
      <c r="S85" s="66"/>
      <c r="T85" s="66"/>
      <c r="U85" s="66"/>
      <c r="V85" s="61">
        <f t="shared" si="3"/>
        <v>0</v>
      </c>
      <c r="W85" s="61"/>
    </row>
    <row r="86" spans="2:49" x14ac:dyDescent="0.2">
      <c r="I86" s="65">
        <f t="shared" ref="I86:T86" si="15">SUM(I19:I85)</f>
        <v>15739.35</v>
      </c>
      <c r="J86" s="167">
        <f t="shared" si="15"/>
        <v>-1515.9433333333334</v>
      </c>
      <c r="K86" s="65">
        <f t="shared" si="15"/>
        <v>14223.406666666669</v>
      </c>
      <c r="L86" s="65">
        <f t="shared" si="15"/>
        <v>3234</v>
      </c>
      <c r="M86" s="65">
        <f t="shared" si="15"/>
        <v>6613.7416666666668</v>
      </c>
      <c r="N86" s="65">
        <f t="shared" si="15"/>
        <v>660</v>
      </c>
      <c r="O86" s="65">
        <f t="shared" si="15"/>
        <v>2248.4333333333329</v>
      </c>
      <c r="P86" s="65">
        <f t="shared" si="15"/>
        <v>664.54</v>
      </c>
      <c r="Q86" s="65">
        <f t="shared" si="15"/>
        <v>392</v>
      </c>
      <c r="R86" s="65">
        <f t="shared" si="15"/>
        <v>129.57999999999998</v>
      </c>
      <c r="S86" s="65">
        <f t="shared" si="15"/>
        <v>0</v>
      </c>
      <c r="T86" s="65">
        <f t="shared" si="15"/>
        <v>281.11166666666668</v>
      </c>
      <c r="U86" s="30"/>
      <c r="V86" s="61">
        <f t="shared" si="3"/>
        <v>0</v>
      </c>
      <c r="W86" s="61"/>
    </row>
    <row r="87" spans="2:49" x14ac:dyDescent="0.2">
      <c r="I87" s="30"/>
      <c r="J87" s="165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</row>
    <row r="88" spans="2:49" x14ac:dyDescent="0.2">
      <c r="I88" s="30"/>
      <c r="J88" s="165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</row>
    <row r="89" spans="2:49" x14ac:dyDescent="0.2">
      <c r="I89" s="30"/>
      <c r="J89" s="165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</row>
    <row r="90" spans="2:49" x14ac:dyDescent="0.2">
      <c r="I90" s="30"/>
      <c r="J90" s="165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</row>
    <row r="91" spans="2:49" x14ac:dyDescent="0.2">
      <c r="I91" s="30"/>
      <c r="J91" s="165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</row>
    <row r="92" spans="2:49" x14ac:dyDescent="0.2">
      <c r="I92" s="30"/>
      <c r="J92" s="165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</row>
    <row r="93" spans="2:49" x14ac:dyDescent="0.2">
      <c r="G93" s="21" t="s">
        <v>120</v>
      </c>
      <c r="I93" s="65">
        <f>SUM(I86:I92)</f>
        <v>15739.35</v>
      </c>
      <c r="J93" s="167">
        <f t="shared" ref="J93:V93" si="16">SUM(J86:J92)</f>
        <v>-1515.9433333333334</v>
      </c>
      <c r="K93" s="65">
        <f t="shared" si="16"/>
        <v>14223.406666666669</v>
      </c>
      <c r="L93" s="65">
        <f t="shared" si="16"/>
        <v>3234</v>
      </c>
      <c r="M93" s="65">
        <f t="shared" si="16"/>
        <v>6613.7416666666668</v>
      </c>
      <c r="N93" s="65">
        <f t="shared" si="16"/>
        <v>660</v>
      </c>
      <c r="O93" s="65">
        <f t="shared" si="16"/>
        <v>2248.4333333333329</v>
      </c>
      <c r="P93" s="65">
        <f t="shared" si="16"/>
        <v>664.54</v>
      </c>
      <c r="Q93" s="65">
        <f t="shared" si="16"/>
        <v>392</v>
      </c>
      <c r="R93" s="65">
        <f t="shared" si="16"/>
        <v>129.57999999999998</v>
      </c>
      <c r="S93" s="65">
        <f>SUM(S87:S92)</f>
        <v>0</v>
      </c>
      <c r="T93" s="65">
        <f t="shared" si="16"/>
        <v>281.11166666666668</v>
      </c>
      <c r="U93" s="65"/>
      <c r="V93" s="65">
        <f t="shared" si="16"/>
        <v>0</v>
      </c>
      <c r="W93" s="30"/>
    </row>
    <row r="94" spans="2:49" x14ac:dyDescent="0.2">
      <c r="I94" s="30"/>
      <c r="J94" s="165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</row>
    <row r="96" spans="2:49" s="1" customFormat="1" ht="29" customHeight="1" x14ac:dyDescent="0.2">
      <c r="B96" s="18"/>
      <c r="C96" s="18"/>
      <c r="E96" s="1" t="s">
        <v>23</v>
      </c>
      <c r="G96" s="21"/>
      <c r="H96" s="45"/>
      <c r="I96" s="32">
        <f>I15-I93</f>
        <v>-3229.2000000000007</v>
      </c>
      <c r="J96" s="51"/>
      <c r="K96" s="2"/>
      <c r="L96" s="7"/>
      <c r="X96" s="37"/>
      <c r="Y96" s="37"/>
      <c r="Z96" s="37"/>
      <c r="AA96" s="37"/>
      <c r="AF96" s="136"/>
      <c r="AH96" s="136"/>
      <c r="AW96" s="141"/>
    </row>
    <row r="97" spans="2:49" x14ac:dyDescent="0.2">
      <c r="E97" t="s">
        <v>11</v>
      </c>
      <c r="I97" s="30">
        <v>19264.060000000001</v>
      </c>
    </row>
    <row r="98" spans="2:49" s="5" customFormat="1" ht="17" thickBot="1" x14ac:dyDescent="0.25">
      <c r="B98" s="19"/>
      <c r="C98" s="19"/>
      <c r="E98" s="5" t="s">
        <v>12</v>
      </c>
      <c r="G98" s="27">
        <f ca="1">TODAY()</f>
        <v>45404</v>
      </c>
      <c r="H98" s="45"/>
      <c r="I98" s="33">
        <f>SUM(I96:I97)</f>
        <v>16034.86</v>
      </c>
      <c r="J98" s="51"/>
      <c r="K98" s="2"/>
      <c r="L98" s="7"/>
      <c r="X98" s="38"/>
      <c r="Y98" s="38"/>
      <c r="Z98" s="38"/>
      <c r="AA98" s="38"/>
      <c r="AF98" s="138"/>
      <c r="AH98" s="138"/>
      <c r="AW98" s="144"/>
    </row>
    <row r="99" spans="2:49" x14ac:dyDescent="0.2">
      <c r="I99" s="30"/>
    </row>
    <row r="100" spans="2:49" ht="19" x14ac:dyDescent="0.25">
      <c r="E100" s="8" t="s">
        <v>22</v>
      </c>
      <c r="I100" s="30"/>
      <c r="J100" s="165"/>
      <c r="K100" s="9"/>
    </row>
    <row r="101" spans="2:49" ht="16" customHeight="1" x14ac:dyDescent="0.2">
      <c r="F101" s="5" t="s">
        <v>8</v>
      </c>
      <c r="I101" s="29">
        <v>17548.810000000001</v>
      </c>
      <c r="J101" s="168"/>
      <c r="K101" s="11"/>
      <c r="L101" s="11"/>
    </row>
    <row r="102" spans="2:49" ht="16" customHeight="1" x14ac:dyDescent="0.2">
      <c r="F102" t="s">
        <v>28</v>
      </c>
      <c r="I102" s="34">
        <f>B104</f>
        <v>328.05</v>
      </c>
      <c r="K102" s="11"/>
      <c r="L102" s="11"/>
    </row>
    <row r="103" spans="2:49" x14ac:dyDescent="0.2">
      <c r="F103" t="s">
        <v>17</v>
      </c>
      <c r="G103" s="25"/>
      <c r="I103" s="28">
        <f>-C104</f>
        <v>-1842</v>
      </c>
      <c r="K103" s="28"/>
    </row>
    <row r="104" spans="2:49" s="5" customFormat="1" ht="17" thickBot="1" x14ac:dyDescent="0.25">
      <c r="B104" s="20">
        <f>SUM(B3:B103)</f>
        <v>328.05</v>
      </c>
      <c r="C104" s="20">
        <f>SUM(C3:C103)</f>
        <v>1842</v>
      </c>
      <c r="F104" s="5" t="s">
        <v>14</v>
      </c>
      <c r="G104" s="26"/>
      <c r="H104" s="45"/>
      <c r="I104" s="33">
        <f>SUM(I101:I103)</f>
        <v>16034.86</v>
      </c>
      <c r="J104" s="51"/>
      <c r="K104" s="28"/>
      <c r="L104" s="7"/>
      <c r="X104" s="38"/>
      <c r="Y104" s="38"/>
      <c r="Z104" s="38"/>
      <c r="AA104" s="38"/>
      <c r="AF104" s="138"/>
      <c r="AH104" s="138"/>
      <c r="AW104" s="144"/>
    </row>
    <row r="105" spans="2:49" x14ac:dyDescent="0.2">
      <c r="I105" s="35">
        <f>I98-I104</f>
        <v>0</v>
      </c>
      <c r="K105" s="28"/>
    </row>
    <row r="106" spans="2:49" ht="14" customHeight="1" x14ac:dyDescent="0.2"/>
    <row r="107" spans="2:49" s="5" customFormat="1" ht="27" customHeight="1" thickBot="1" x14ac:dyDescent="0.25">
      <c r="B107" s="19"/>
      <c r="C107" s="19"/>
      <c r="G107" s="26"/>
      <c r="H107" s="45"/>
      <c r="I107" s="29"/>
      <c r="J107" s="168"/>
      <c r="K107" s="10"/>
      <c r="L107" s="11"/>
      <c r="P107" s="49"/>
      <c r="Q107"/>
      <c r="AF107" s="2"/>
      <c r="AG107" s="28"/>
      <c r="AH107" s="2"/>
      <c r="AI107" s="38"/>
      <c r="AJ107" s="38"/>
      <c r="AK107" s="38"/>
      <c r="AO107" s="45"/>
      <c r="AW107" s="144"/>
    </row>
    <row r="108" spans="2:49" ht="51" customHeight="1" x14ac:dyDescent="0.2">
      <c r="E108" s="6"/>
      <c r="I108" s="34"/>
      <c r="K108" s="7"/>
      <c r="P108" s="49"/>
      <c r="AE108" s="13" t="s">
        <v>13</v>
      </c>
      <c r="AF108" s="563" t="s">
        <v>126</v>
      </c>
      <c r="AG108" s="563"/>
      <c r="AH108" s="563"/>
      <c r="AI108" s="566" t="s">
        <v>82</v>
      </c>
      <c r="AJ108" s="567"/>
      <c r="AK108" s="567"/>
      <c r="AL108" s="568"/>
      <c r="AM108" s="564" t="s">
        <v>81</v>
      </c>
      <c r="AO108" s="73" t="s">
        <v>90</v>
      </c>
    </row>
    <row r="109" spans="2:49" ht="68" x14ac:dyDescent="0.2">
      <c r="E109" s="6"/>
      <c r="K109" s="7"/>
      <c r="P109" s="49"/>
      <c r="AE109" s="13" t="s">
        <v>19</v>
      </c>
      <c r="AF109" s="15" t="s">
        <v>127</v>
      </c>
      <c r="AG109" s="15" t="s">
        <v>94</v>
      </c>
      <c r="AH109" s="15" t="s">
        <v>125</v>
      </c>
      <c r="AI109" s="93" t="s">
        <v>77</v>
      </c>
      <c r="AJ109" s="94" t="s">
        <v>78</v>
      </c>
      <c r="AK109" s="94" t="s">
        <v>79</v>
      </c>
      <c r="AL109" s="95" t="s">
        <v>80</v>
      </c>
      <c r="AM109" s="565"/>
      <c r="AO109" s="68"/>
    </row>
    <row r="110" spans="2:49" ht="33" customHeight="1" x14ac:dyDescent="0.2">
      <c r="E110" s="6"/>
      <c r="I110" s="51"/>
      <c r="K110" s="7"/>
      <c r="P110" s="50"/>
      <c r="Q110" s="1"/>
      <c r="AE110" s="1" t="s">
        <v>91</v>
      </c>
      <c r="AF110" s="40">
        <v>19264.060000000001</v>
      </c>
      <c r="AG110" s="40"/>
      <c r="AH110" s="3">
        <f>AF110</f>
        <v>19264.060000000001</v>
      </c>
      <c r="AI110" s="96">
        <f>AH130</f>
        <v>16034.860000000002</v>
      </c>
      <c r="AJ110" s="97">
        <f>AI130</f>
        <v>14519.860000000002</v>
      </c>
      <c r="AK110" s="97">
        <f>AJ130</f>
        <v>13574.860000000002</v>
      </c>
      <c r="AL110" s="98">
        <f>AH110</f>
        <v>19264.060000000001</v>
      </c>
      <c r="AM110" s="86">
        <f>AL110-AO111</f>
        <v>6.0000000001309672E-2</v>
      </c>
      <c r="AO110" s="68"/>
    </row>
    <row r="111" spans="2:49" ht="20" thickBot="1" x14ac:dyDescent="0.25">
      <c r="E111" s="6"/>
      <c r="I111" s="51"/>
      <c r="K111" s="7"/>
      <c r="P111" s="50"/>
      <c r="Q111" s="1"/>
      <c r="AE111" s="1" t="s">
        <v>89</v>
      </c>
      <c r="AF111" s="74"/>
      <c r="AG111" s="74"/>
      <c r="AH111" s="75"/>
      <c r="AI111" s="99"/>
      <c r="AJ111" s="100"/>
      <c r="AK111" s="100"/>
      <c r="AL111" s="101"/>
      <c r="AM111" s="87"/>
      <c r="AO111" s="69">
        <v>19264</v>
      </c>
    </row>
    <row r="112" spans="2:49" x14ac:dyDescent="0.2">
      <c r="E112" s="6"/>
      <c r="I112" s="51"/>
      <c r="K112" s="7"/>
      <c r="P112" s="50"/>
      <c r="Q112" s="1"/>
      <c r="AE112" s="1"/>
      <c r="AF112" s="74"/>
      <c r="AG112" s="74"/>
      <c r="AH112" s="75"/>
      <c r="AI112" s="99"/>
      <c r="AJ112" s="100"/>
      <c r="AK112" s="100"/>
      <c r="AL112" s="101"/>
      <c r="AM112" s="87"/>
      <c r="AO112" s="70"/>
    </row>
    <row r="113" spans="2:51" x14ac:dyDescent="0.2">
      <c r="E113" s="6"/>
      <c r="I113" s="51"/>
      <c r="K113" s="7"/>
      <c r="P113" s="49"/>
      <c r="AE113" t="s">
        <v>0</v>
      </c>
      <c r="AF113" s="41">
        <v>8000</v>
      </c>
      <c r="AG113" s="41">
        <f>AH113-AF113</f>
        <v>0</v>
      </c>
      <c r="AH113" s="10">
        <f>J15</f>
        <v>8000</v>
      </c>
      <c r="AI113" s="102"/>
      <c r="AJ113" s="103"/>
      <c r="AK113" s="103"/>
      <c r="AL113" s="104">
        <f>SUM(AH113:AK113)</f>
        <v>8000</v>
      </c>
      <c r="AM113" s="88">
        <f>AO113-AL113</f>
        <v>0</v>
      </c>
      <c r="AO113" s="70">
        <v>8000</v>
      </c>
      <c r="AQ113" s="158">
        <f>AH113-AO113</f>
        <v>0</v>
      </c>
    </row>
    <row r="114" spans="2:51" x14ac:dyDescent="0.2">
      <c r="E114" s="6"/>
      <c r="I114" s="51"/>
      <c r="K114" s="7"/>
      <c r="P114" s="49"/>
      <c r="AE114" t="s">
        <v>128</v>
      </c>
      <c r="AF114" s="41">
        <v>1432.1</v>
      </c>
      <c r="AG114" s="41">
        <f t="shared" ref="AG114:AG116" si="17">AH114-AF114</f>
        <v>328.04999999999995</v>
      </c>
      <c r="AH114" s="10">
        <f>L15</f>
        <v>1760.1499999999999</v>
      </c>
      <c r="AI114" s="102"/>
      <c r="AJ114" s="103"/>
      <c r="AK114" s="103"/>
      <c r="AL114" s="104">
        <f>SUM(AH114:AK114)</f>
        <v>1760.1499999999999</v>
      </c>
      <c r="AM114" s="88">
        <f>AO114-AL114</f>
        <v>-1510.1499999999999</v>
      </c>
      <c r="AO114" s="70">
        <v>250</v>
      </c>
      <c r="AR114" s="158">
        <f>AH114-AO114</f>
        <v>1510.1499999999999</v>
      </c>
    </row>
    <row r="115" spans="2:51" x14ac:dyDescent="0.2">
      <c r="E115" s="6"/>
      <c r="I115" s="51"/>
      <c r="K115" s="7"/>
      <c r="P115" s="49"/>
      <c r="AE115" t="s">
        <v>42</v>
      </c>
      <c r="AF115" s="41">
        <v>2250</v>
      </c>
      <c r="AG115" s="41">
        <f t="shared" si="17"/>
        <v>0</v>
      </c>
      <c r="AH115" s="10">
        <f>M15</f>
        <v>2250</v>
      </c>
      <c r="AI115" s="102"/>
      <c r="AJ115" s="103"/>
      <c r="AK115" s="103"/>
      <c r="AL115" s="104">
        <f>SUM(AH115:AK115)</f>
        <v>2250</v>
      </c>
      <c r="AM115" s="88">
        <f>AO115-AL115</f>
        <v>0</v>
      </c>
      <c r="AO115" s="70">
        <v>2250</v>
      </c>
      <c r="AQ115" s="158">
        <f t="shared" ref="AQ115:AQ116" si="18">AH115-AO115</f>
        <v>0</v>
      </c>
    </row>
    <row r="116" spans="2:51" x14ac:dyDescent="0.2">
      <c r="E116" s="6"/>
      <c r="I116" s="51"/>
      <c r="K116" s="7"/>
      <c r="P116" s="49"/>
      <c r="AE116" t="s">
        <v>105</v>
      </c>
      <c r="AF116" s="41">
        <v>500</v>
      </c>
      <c r="AG116" s="41">
        <f t="shared" si="17"/>
        <v>0</v>
      </c>
      <c r="AH116" s="10">
        <f>K15</f>
        <v>500</v>
      </c>
      <c r="AI116" s="102"/>
      <c r="AJ116" s="103"/>
      <c r="AK116" s="103"/>
      <c r="AL116" s="104"/>
      <c r="AM116" s="88"/>
      <c r="AO116" s="70"/>
      <c r="AQ116" s="158">
        <f t="shared" si="18"/>
        <v>500</v>
      </c>
    </row>
    <row r="117" spans="2:51" s="76" customFormat="1" ht="23" customHeight="1" x14ac:dyDescent="0.2">
      <c r="B117" s="77"/>
      <c r="C117" s="77"/>
      <c r="E117" s="78"/>
      <c r="G117" s="79"/>
      <c r="H117" s="45"/>
      <c r="I117" s="80"/>
      <c r="J117" s="80"/>
      <c r="K117" s="81"/>
      <c r="L117" s="81"/>
      <c r="P117" s="50"/>
      <c r="Q117" s="1"/>
      <c r="X117" s="82"/>
      <c r="Y117" s="82"/>
      <c r="Z117" s="82"/>
      <c r="AA117" s="82"/>
      <c r="AE117" s="1" t="s">
        <v>1</v>
      </c>
      <c r="AF117" s="43">
        <f>SUM(AF113:AF116)</f>
        <v>12182.1</v>
      </c>
      <c r="AG117" s="43">
        <f>SUM(AG113:AG116)</f>
        <v>328.04999999999995</v>
      </c>
      <c r="AH117" s="85">
        <f>SUM(AH113:AH116)</f>
        <v>12510.15</v>
      </c>
      <c r="AI117" s="105">
        <f>SUM(AI113:AI115)</f>
        <v>0</v>
      </c>
      <c r="AJ117" s="106">
        <f>SUM(AJ113:AJ115)</f>
        <v>0</v>
      </c>
      <c r="AK117" s="106">
        <f>SUM(AK113:AK115)</f>
        <v>0</v>
      </c>
      <c r="AL117" s="107">
        <f>SUM(AL113:AL115)</f>
        <v>12010.15</v>
      </c>
      <c r="AM117" s="89">
        <f>SUM(AM113:AM115)</f>
        <v>-1510.1499999999999</v>
      </c>
      <c r="AO117" s="83">
        <f>SUM(AO113:AO115)</f>
        <v>10500</v>
      </c>
      <c r="AQ117" s="158"/>
      <c r="AW117" s="145"/>
    </row>
    <row r="118" spans="2:51" x14ac:dyDescent="0.2">
      <c r="E118" s="6"/>
      <c r="I118" s="51"/>
      <c r="K118" s="7"/>
      <c r="P118" s="49"/>
      <c r="AE118" t="s">
        <v>6</v>
      </c>
      <c r="AF118" s="140">
        <v>2250</v>
      </c>
      <c r="AG118" s="41">
        <f t="shared" ref="AG118:AG127" si="19">AH118-AF118</f>
        <v>984</v>
      </c>
      <c r="AH118" s="10">
        <f>L86</f>
        <v>3234</v>
      </c>
      <c r="AI118" s="102">
        <v>750</v>
      </c>
      <c r="AJ118" s="103">
        <v>180</v>
      </c>
      <c r="AK118" s="103">
        <v>750</v>
      </c>
      <c r="AL118" s="104">
        <f t="shared" ref="AL118:AL127" si="20">SUM(AH118:AK118)</f>
        <v>4914</v>
      </c>
      <c r="AM118" s="88">
        <f t="shared" ref="AM118:AM126" si="21">AO118-AL118</f>
        <v>-1726</v>
      </c>
      <c r="AO118" s="70">
        <v>3188</v>
      </c>
      <c r="AR118" s="158">
        <f>-AH118+AO118</f>
        <v>-46</v>
      </c>
    </row>
    <row r="119" spans="2:51" x14ac:dyDescent="0.2">
      <c r="E119" s="6"/>
      <c r="I119" s="51"/>
      <c r="K119" s="7"/>
      <c r="P119" s="49"/>
      <c r="AE119" t="s">
        <v>43</v>
      </c>
      <c r="AF119" s="41">
        <v>5231</v>
      </c>
      <c r="AG119" s="41">
        <f t="shared" si="19"/>
        <v>1382.7416666666668</v>
      </c>
      <c r="AH119" s="10">
        <f>M86</f>
        <v>6613.7416666666668</v>
      </c>
      <c r="AI119" s="102">
        <v>485</v>
      </c>
      <c r="AJ119" s="103">
        <v>485</v>
      </c>
      <c r="AK119" s="103">
        <v>485</v>
      </c>
      <c r="AL119" s="104">
        <f t="shared" si="20"/>
        <v>8068.7416666666668</v>
      </c>
      <c r="AM119" s="88">
        <f t="shared" si="21"/>
        <v>397.25833333333321</v>
      </c>
      <c r="AO119" s="70">
        <v>8466</v>
      </c>
      <c r="AQ119" s="158">
        <f t="shared" ref="AQ119:AQ125" si="22">-AH119+AO119</f>
        <v>1852.2583333333332</v>
      </c>
    </row>
    <row r="120" spans="2:51" x14ac:dyDescent="0.2">
      <c r="E120" s="6"/>
      <c r="I120" s="51"/>
      <c r="K120" s="7"/>
      <c r="P120" s="49"/>
      <c r="AE120" t="s">
        <v>46</v>
      </c>
      <c r="AF120" s="41">
        <v>600</v>
      </c>
      <c r="AG120" s="41">
        <f t="shared" si="19"/>
        <v>60</v>
      </c>
      <c r="AH120" s="10">
        <f>N86</f>
        <v>660</v>
      </c>
      <c r="AI120" s="102">
        <v>100</v>
      </c>
      <c r="AJ120" s="103">
        <v>100</v>
      </c>
      <c r="AK120" s="103">
        <v>100</v>
      </c>
      <c r="AL120" s="104">
        <f t="shared" si="20"/>
        <v>960</v>
      </c>
      <c r="AM120" s="88">
        <f t="shared" si="21"/>
        <v>-190</v>
      </c>
      <c r="AO120" s="70">
        <v>770</v>
      </c>
      <c r="AR120" s="158">
        <f>-AH120+AO120</f>
        <v>110</v>
      </c>
    </row>
    <row r="121" spans="2:51" x14ac:dyDescent="0.2">
      <c r="E121" s="6"/>
      <c r="I121" s="51"/>
      <c r="K121" s="7"/>
      <c r="P121" s="49"/>
      <c r="AE121" t="s">
        <v>56</v>
      </c>
      <c r="AF121" s="41">
        <v>2222.4499999999998</v>
      </c>
      <c r="AG121" s="41">
        <f t="shared" si="19"/>
        <v>25.983333333333121</v>
      </c>
      <c r="AH121" s="10">
        <f>O93</f>
        <v>2248.4333333333329</v>
      </c>
      <c r="AI121" s="102"/>
      <c r="AJ121" s="103"/>
      <c r="AK121" s="103"/>
      <c r="AL121" s="104">
        <f t="shared" si="20"/>
        <v>2248.4333333333329</v>
      </c>
      <c r="AM121" s="88">
        <f t="shared" si="21"/>
        <v>-938.43333333333294</v>
      </c>
      <c r="AO121" s="70">
        <v>1310</v>
      </c>
      <c r="AR121" s="158">
        <f>-AH121+AO121</f>
        <v>-938.43333333333294</v>
      </c>
    </row>
    <row r="122" spans="2:51" x14ac:dyDescent="0.2">
      <c r="E122" s="6"/>
      <c r="I122" s="51"/>
      <c r="K122" s="7"/>
      <c r="P122" s="49"/>
      <c r="AE122" t="s">
        <v>4</v>
      </c>
      <c r="AF122" s="41">
        <v>664.54</v>
      </c>
      <c r="AG122" s="41">
        <f t="shared" si="19"/>
        <v>0</v>
      </c>
      <c r="AH122" s="10">
        <f>P93</f>
        <v>664.54</v>
      </c>
      <c r="AI122" s="102"/>
      <c r="AJ122" s="103"/>
      <c r="AK122" s="103"/>
      <c r="AL122" s="104">
        <f t="shared" si="20"/>
        <v>664.54</v>
      </c>
      <c r="AM122" s="88">
        <f t="shared" si="21"/>
        <v>-14.539999999999964</v>
      </c>
      <c r="AO122" s="70">
        <v>650</v>
      </c>
      <c r="AR122" s="158">
        <f>-AH122+AO122</f>
        <v>-14.539999999999964</v>
      </c>
    </row>
    <row r="123" spans="2:51" x14ac:dyDescent="0.2">
      <c r="E123" s="6"/>
      <c r="I123" s="51"/>
      <c r="K123" s="7"/>
      <c r="P123" s="49"/>
      <c r="AE123" t="s">
        <v>44</v>
      </c>
      <c r="AF123" s="42">
        <v>392</v>
      </c>
      <c r="AG123" s="41">
        <f t="shared" si="19"/>
        <v>0</v>
      </c>
      <c r="AH123" s="10">
        <f>Q93</f>
        <v>392</v>
      </c>
      <c r="AI123" s="102"/>
      <c r="AJ123" s="103"/>
      <c r="AK123" s="103">
        <v>700</v>
      </c>
      <c r="AL123" s="104">
        <f t="shared" si="20"/>
        <v>1092</v>
      </c>
      <c r="AM123" s="88">
        <f t="shared" si="21"/>
        <v>-92</v>
      </c>
      <c r="AO123" s="70">
        <v>1000</v>
      </c>
      <c r="AQ123" s="158">
        <f t="shared" si="22"/>
        <v>608</v>
      </c>
    </row>
    <row r="124" spans="2:51" x14ac:dyDescent="0.2">
      <c r="E124" s="6"/>
      <c r="I124" s="51"/>
      <c r="K124" s="7"/>
      <c r="P124" s="49"/>
      <c r="AE124" t="s">
        <v>69</v>
      </c>
      <c r="AF124" s="42">
        <v>129.58000000000001</v>
      </c>
      <c r="AG124" s="41">
        <f t="shared" si="19"/>
        <v>0</v>
      </c>
      <c r="AH124" s="10">
        <f>R93</f>
        <v>129.57999999999998</v>
      </c>
      <c r="AI124" s="102"/>
      <c r="AJ124" s="103"/>
      <c r="AK124" s="103"/>
      <c r="AL124" s="104">
        <f t="shared" si="20"/>
        <v>129.57999999999998</v>
      </c>
      <c r="AM124" s="88">
        <f t="shared" si="21"/>
        <v>50.420000000000016</v>
      </c>
      <c r="AO124" s="70">
        <v>180</v>
      </c>
      <c r="AR124" s="158">
        <f>-AH124+AO124</f>
        <v>50.420000000000016</v>
      </c>
    </row>
    <row r="125" spans="2:51" x14ac:dyDescent="0.2">
      <c r="E125" s="6"/>
      <c r="I125" s="34"/>
      <c r="K125" s="7"/>
      <c r="P125" s="49"/>
      <c r="AE125" t="s">
        <v>47</v>
      </c>
      <c r="AF125" s="42">
        <v>281</v>
      </c>
      <c r="AG125" s="41">
        <f t="shared" si="19"/>
        <v>0.11166666666667879</v>
      </c>
      <c r="AH125" s="10">
        <f>T93</f>
        <v>281.11166666666668</v>
      </c>
      <c r="AI125" s="102">
        <v>180</v>
      </c>
      <c r="AJ125" s="103">
        <v>180</v>
      </c>
      <c r="AK125" s="103">
        <v>180</v>
      </c>
      <c r="AL125" s="104">
        <f t="shared" si="20"/>
        <v>821.11166666666668</v>
      </c>
      <c r="AM125" s="88">
        <f t="shared" si="21"/>
        <v>-26.111666666666679</v>
      </c>
      <c r="AO125" s="70">
        <v>795</v>
      </c>
      <c r="AQ125" s="158">
        <f t="shared" si="22"/>
        <v>513.88833333333332</v>
      </c>
    </row>
    <row r="126" spans="2:51" x14ac:dyDescent="0.2">
      <c r="E126" s="6"/>
      <c r="I126" s="51"/>
      <c r="K126" s="7"/>
      <c r="L126" s="48"/>
      <c r="P126" s="49"/>
      <c r="AE126" t="s">
        <v>5</v>
      </c>
      <c r="AF126" s="42">
        <v>0</v>
      </c>
      <c r="AG126" s="41">
        <f t="shared" si="19"/>
        <v>0</v>
      </c>
      <c r="AH126" s="10">
        <v>0</v>
      </c>
      <c r="AI126" s="102"/>
      <c r="AJ126" s="103"/>
      <c r="AK126" s="103">
        <v>500</v>
      </c>
      <c r="AL126" s="104">
        <f t="shared" si="20"/>
        <v>500</v>
      </c>
      <c r="AM126" s="88">
        <f t="shared" si="21"/>
        <v>500</v>
      </c>
      <c r="AO126" s="70">
        <v>1000</v>
      </c>
      <c r="AR126" s="158">
        <f>-AH126+AO126</f>
        <v>1000</v>
      </c>
    </row>
    <row r="127" spans="2:51" x14ac:dyDescent="0.2">
      <c r="E127" s="6"/>
      <c r="I127" s="51"/>
      <c r="K127" s="7"/>
      <c r="L127" s="48"/>
      <c r="P127" s="49"/>
      <c r="AE127" t="s">
        <v>50</v>
      </c>
      <c r="AF127" s="41">
        <v>1246</v>
      </c>
      <c r="AG127" s="41">
        <f t="shared" si="19"/>
        <v>269.94333333333338</v>
      </c>
      <c r="AH127" s="10">
        <f>-J93</f>
        <v>1515.9433333333334</v>
      </c>
      <c r="AI127" s="102"/>
      <c r="AJ127" s="103"/>
      <c r="AK127" s="103"/>
      <c r="AL127" s="104">
        <f t="shared" si="20"/>
        <v>1515.9433333333334</v>
      </c>
      <c r="AM127" s="88"/>
      <c r="AO127" s="70"/>
      <c r="AQ127" s="159">
        <f>SUM(AQ116:AQ126)</f>
        <v>3474.1466666666665</v>
      </c>
      <c r="AR127" s="158">
        <f>-AH127+AO127</f>
        <v>-1515.9433333333334</v>
      </c>
    </row>
    <row r="128" spans="2:51" s="76" customFormat="1" ht="24" customHeight="1" x14ac:dyDescent="0.2">
      <c r="B128" s="77"/>
      <c r="C128" s="77"/>
      <c r="E128" s="78"/>
      <c r="G128" s="79"/>
      <c r="H128" s="45"/>
      <c r="I128" s="80"/>
      <c r="J128" s="80"/>
      <c r="K128" s="81"/>
      <c r="L128" s="84"/>
      <c r="P128" s="50"/>
      <c r="Q128" s="1"/>
      <c r="X128" s="82"/>
      <c r="Y128" s="82"/>
      <c r="Z128" s="82"/>
      <c r="AA128" s="82"/>
      <c r="AE128" s="1" t="s">
        <v>51</v>
      </c>
      <c r="AF128" s="43">
        <f>SUM(AF118:AF127)</f>
        <v>13016.570000000002</v>
      </c>
      <c r="AG128" s="43">
        <f>SUM(AG118:AG127)</f>
        <v>2722.7799999999997</v>
      </c>
      <c r="AH128" s="85">
        <f>SUM(AH118:AH127)</f>
        <v>15739.349999999999</v>
      </c>
      <c r="AI128" s="105">
        <f t="shared" ref="AI128:AM128" si="23">SUM(AI118:AI127)</f>
        <v>1515</v>
      </c>
      <c r="AJ128" s="106">
        <f t="shared" si="23"/>
        <v>945</v>
      </c>
      <c r="AK128" s="106">
        <f t="shared" si="23"/>
        <v>2715</v>
      </c>
      <c r="AL128" s="107">
        <f t="shared" si="23"/>
        <v>20914.350000000002</v>
      </c>
      <c r="AM128" s="89">
        <f t="shared" si="23"/>
        <v>-2039.4066666666663</v>
      </c>
      <c r="AO128" s="83">
        <f>SUM(AO118:AO127)</f>
        <v>17359</v>
      </c>
      <c r="AQ128" s="158">
        <f>AR128</f>
        <v>155.65333333333365</v>
      </c>
      <c r="AR128" s="158">
        <f>SUM(AR114:AR127)</f>
        <v>155.65333333333365</v>
      </c>
      <c r="AV128"/>
      <c r="AW128" s="142"/>
      <c r="AX128"/>
      <c r="AY128"/>
    </row>
    <row r="129" spans="2:51" s="76" customFormat="1" ht="23" customHeight="1" x14ac:dyDescent="0.2">
      <c r="B129" s="77"/>
      <c r="C129" s="77"/>
      <c r="E129" s="78"/>
      <c r="G129" s="79"/>
      <c r="H129" s="45"/>
      <c r="I129" s="80"/>
      <c r="J129" s="80"/>
      <c r="K129" s="81"/>
      <c r="L129" s="84"/>
      <c r="P129" s="50"/>
      <c r="Q129" s="1"/>
      <c r="X129" s="82"/>
      <c r="Y129" s="82"/>
      <c r="Z129" s="82"/>
      <c r="AA129" s="82"/>
      <c r="AE129" s="1" t="s">
        <v>2</v>
      </c>
      <c r="AF129" s="43">
        <f>AF117-AF128</f>
        <v>-834.47000000000116</v>
      </c>
      <c r="AG129" s="43">
        <f>AG117-AG128</f>
        <v>-2394.7299999999996</v>
      </c>
      <c r="AH129" s="85">
        <f>AH117-AH128</f>
        <v>-3229.1999999999989</v>
      </c>
      <c r="AI129" s="108">
        <f t="shared" ref="AI129:AM129" si="24">AI117-AI128</f>
        <v>-1515</v>
      </c>
      <c r="AJ129" s="109">
        <f t="shared" si="24"/>
        <v>-945</v>
      </c>
      <c r="AK129" s="109">
        <f t="shared" si="24"/>
        <v>-2715</v>
      </c>
      <c r="AL129" s="110">
        <f t="shared" si="24"/>
        <v>-8904.2000000000025</v>
      </c>
      <c r="AM129" s="90">
        <f t="shared" si="24"/>
        <v>529.25666666666643</v>
      </c>
      <c r="AO129" s="83">
        <f>AO117-AO128</f>
        <v>-6859</v>
      </c>
      <c r="AQ129" s="160">
        <f>AH129-AO129</f>
        <v>3629.8000000000011</v>
      </c>
      <c r="AV129"/>
      <c r="AW129" s="142"/>
      <c r="AX129"/>
      <c r="AY129"/>
    </row>
    <row r="130" spans="2:51" ht="28" customHeight="1" thickBot="1" x14ac:dyDescent="0.25">
      <c r="E130" s="6"/>
      <c r="I130" s="51"/>
      <c r="K130" s="7"/>
      <c r="P130" s="50"/>
      <c r="Q130" s="1"/>
      <c r="AE130" s="1" t="s">
        <v>3</v>
      </c>
      <c r="AF130" s="43">
        <f>AF110+AF129</f>
        <v>18429.59</v>
      </c>
      <c r="AG130" s="47"/>
      <c r="AH130" s="4">
        <f>AH110+AH129</f>
        <v>16034.860000000002</v>
      </c>
      <c r="AI130" s="111">
        <f>AI110+AI129</f>
        <v>14519.860000000002</v>
      </c>
      <c r="AJ130" s="112">
        <f>AJ110+AJ129</f>
        <v>13574.860000000002</v>
      </c>
      <c r="AK130" s="112">
        <f>AK110+AK129</f>
        <v>10859.860000000002</v>
      </c>
      <c r="AL130" s="113">
        <f>AL110+AL129</f>
        <v>10359.859999999999</v>
      </c>
      <c r="AM130" s="91">
        <f>AL130-AO130</f>
        <v>-2045.1400000000012</v>
      </c>
      <c r="AO130" s="71">
        <f>AO111+AO129</f>
        <v>12405</v>
      </c>
    </row>
    <row r="131" spans="2:51" ht="17" thickBot="1" x14ac:dyDescent="0.25">
      <c r="E131" s="6"/>
      <c r="I131" s="51"/>
      <c r="K131" s="7"/>
      <c r="P131" s="50"/>
      <c r="Q131" s="1"/>
      <c r="AE131" s="117" t="s">
        <v>88</v>
      </c>
      <c r="AF131" s="45"/>
      <c r="AG131" s="46"/>
      <c r="AH131" s="139">
        <f>AH130-I104</f>
        <v>0</v>
      </c>
      <c r="AI131" s="114"/>
      <c r="AJ131" s="115"/>
      <c r="AK131" s="115"/>
      <c r="AL131" s="116"/>
      <c r="AM131" s="92"/>
      <c r="AO131" s="72"/>
    </row>
    <row r="132" spans="2:51" ht="17" thickBot="1" x14ac:dyDescent="0.25">
      <c r="E132" s="6"/>
      <c r="I132" s="51"/>
      <c r="K132" s="7"/>
      <c r="P132" s="50"/>
      <c r="Q132" s="1"/>
      <c r="AF132" s="12"/>
      <c r="AG132" s="31"/>
      <c r="AH132" s="2"/>
      <c r="AI132" s="36"/>
      <c r="AJ132" s="36"/>
      <c r="AK132" s="36"/>
      <c r="AO132" s="45"/>
    </row>
    <row r="133" spans="2:51" ht="50" customHeight="1" thickTop="1" thickBot="1" x14ac:dyDescent="0.25">
      <c r="E133" s="6"/>
      <c r="G133" s="24"/>
      <c r="I133" s="51"/>
      <c r="K133" s="7"/>
      <c r="AP133" s="13" t="s">
        <v>13</v>
      </c>
      <c r="AQ133" s="13"/>
      <c r="AR133" s="569" t="s">
        <v>107</v>
      </c>
      <c r="AS133" s="570"/>
      <c r="AT133" s="570"/>
      <c r="AU133" s="571"/>
      <c r="AW133" s="561" t="s">
        <v>108</v>
      </c>
      <c r="AX133" s="562"/>
    </row>
    <row r="134" spans="2:51" ht="51" x14ac:dyDescent="0.2">
      <c r="E134" s="6"/>
      <c r="I134" s="51"/>
      <c r="K134" s="7"/>
      <c r="AP134" s="13" t="s">
        <v>19</v>
      </c>
      <c r="AQ134" s="13"/>
      <c r="AR134" s="15" t="s">
        <v>116</v>
      </c>
      <c r="AS134" s="15" t="s">
        <v>115</v>
      </c>
      <c r="AT134" s="15" t="s">
        <v>114</v>
      </c>
      <c r="AU134" s="15" t="s">
        <v>73</v>
      </c>
      <c r="AW134" s="146"/>
      <c r="AX134" s="147"/>
    </row>
    <row r="135" spans="2:51" x14ac:dyDescent="0.2">
      <c r="E135" s="6"/>
      <c r="I135" s="51"/>
      <c r="K135" s="7"/>
      <c r="AP135" s="1" t="s">
        <v>113</v>
      </c>
      <c r="AQ135" s="1"/>
      <c r="AR135" s="3">
        <v>19264</v>
      </c>
      <c r="AS135" s="3">
        <f>AR163</f>
        <v>19506</v>
      </c>
      <c r="AT135" s="3">
        <f>AS163</f>
        <v>19466</v>
      </c>
      <c r="AU135" s="3">
        <f>AF110</f>
        <v>19264.060000000001</v>
      </c>
      <c r="AW135" s="148">
        <f>AU163</f>
        <v>16534.060000000001</v>
      </c>
      <c r="AX135" s="149" t="s">
        <v>112</v>
      </c>
    </row>
    <row r="136" spans="2:51" x14ac:dyDescent="0.2">
      <c r="E136" s="6"/>
      <c r="I136" s="51"/>
      <c r="K136" s="7"/>
      <c r="AP136" s="1"/>
      <c r="AQ136" s="1"/>
      <c r="AR136" s="74"/>
      <c r="AS136" s="75"/>
      <c r="AW136" s="146"/>
      <c r="AX136" s="147"/>
    </row>
    <row r="137" spans="2:51" x14ac:dyDescent="0.2">
      <c r="E137" s="6"/>
      <c r="I137" s="51"/>
      <c r="K137" s="7"/>
      <c r="AP137" t="s">
        <v>0</v>
      </c>
      <c r="AR137" s="74">
        <v>8000</v>
      </c>
      <c r="AS137" s="75"/>
      <c r="AU137" s="119">
        <f>SUM(AR137:AT137)</f>
        <v>8000</v>
      </c>
      <c r="AW137" s="146">
        <v>12000</v>
      </c>
      <c r="AX137" s="147"/>
    </row>
    <row r="138" spans="2:51" x14ac:dyDescent="0.2">
      <c r="E138" s="6"/>
      <c r="I138" s="51"/>
      <c r="K138" s="7"/>
      <c r="AP138" t="s">
        <v>76</v>
      </c>
      <c r="AR138" s="74">
        <v>1432</v>
      </c>
      <c r="AS138" s="75"/>
      <c r="AU138" s="119">
        <f>SUM(AR138:AT138)</f>
        <v>1432</v>
      </c>
      <c r="AW138" s="146"/>
      <c r="AX138" s="147"/>
    </row>
    <row r="139" spans="2:51" x14ac:dyDescent="0.2">
      <c r="AP139" t="s">
        <v>50</v>
      </c>
      <c r="AR139" s="74"/>
      <c r="AS139" s="75"/>
      <c r="AU139" s="119">
        <f>SUM(AR139:AT139)</f>
        <v>0</v>
      </c>
      <c r="AW139" s="146"/>
      <c r="AX139" s="147"/>
    </row>
    <row r="140" spans="2:51" x14ac:dyDescent="0.2">
      <c r="E140" s="6"/>
      <c r="I140" s="34"/>
      <c r="K140" s="7"/>
      <c r="AP140" t="s">
        <v>42</v>
      </c>
      <c r="AR140" s="74">
        <v>2250</v>
      </c>
      <c r="AS140" s="75"/>
      <c r="AU140" s="119">
        <f>SUM(AR140:AT140)</f>
        <v>2250</v>
      </c>
      <c r="AW140" s="146"/>
      <c r="AX140" s="147"/>
    </row>
    <row r="141" spans="2:51" x14ac:dyDescent="0.2">
      <c r="E141" s="6"/>
      <c r="I141" s="34"/>
      <c r="K141" s="7"/>
      <c r="AP141" t="s">
        <v>106</v>
      </c>
      <c r="AR141" s="74"/>
      <c r="AS141" s="74">
        <v>500</v>
      </c>
      <c r="AU141" s="119">
        <f>SUM(AR141:AT141)</f>
        <v>500</v>
      </c>
      <c r="AW141" s="146"/>
      <c r="AX141" s="147"/>
    </row>
    <row r="142" spans="2:51" x14ac:dyDescent="0.2">
      <c r="E142" s="6"/>
      <c r="I142" s="44"/>
      <c r="K142" s="7"/>
      <c r="AP142" s="1" t="s">
        <v>1</v>
      </c>
      <c r="AQ142" s="1"/>
      <c r="AR142" s="43">
        <f>SUM(AR137:AR141)</f>
        <v>11682</v>
      </c>
      <c r="AS142" s="43">
        <f t="shared" ref="AS142:AW142" si="25">SUM(AS137:AS141)</f>
        <v>500</v>
      </c>
      <c r="AT142" s="43">
        <f t="shared" si="25"/>
        <v>0</v>
      </c>
      <c r="AU142" s="43">
        <f t="shared" si="25"/>
        <v>12182</v>
      </c>
      <c r="AW142" s="150">
        <f t="shared" si="25"/>
        <v>12000</v>
      </c>
      <c r="AX142" s="147"/>
    </row>
    <row r="143" spans="2:51" ht="17" thickBot="1" x14ac:dyDescent="0.25">
      <c r="AW143" s="146"/>
      <c r="AX143" s="147"/>
    </row>
    <row r="144" spans="2:51" x14ac:dyDescent="0.2">
      <c r="AP144" s="122" t="s">
        <v>111</v>
      </c>
      <c r="AQ144" s="123"/>
      <c r="AR144" s="124">
        <v>5014</v>
      </c>
      <c r="AS144" s="125"/>
      <c r="AT144" s="123"/>
      <c r="AU144" s="126">
        <f t="shared" ref="AU144:AU149" si="26">SUM(AR144:AT144)</f>
        <v>5014</v>
      </c>
      <c r="AW144" s="151"/>
      <c r="AX144" s="147"/>
    </row>
    <row r="145" spans="5:52" x14ac:dyDescent="0.2">
      <c r="AP145" s="127"/>
      <c r="AQ145" s="25" t="s">
        <v>95</v>
      </c>
      <c r="AR145" s="128"/>
      <c r="AS145" s="128">
        <v>127</v>
      </c>
      <c r="AT145" s="128">
        <v>134</v>
      </c>
      <c r="AU145" s="129">
        <f t="shared" si="26"/>
        <v>261</v>
      </c>
      <c r="AW145" s="152">
        <f>800+150</f>
        <v>950</v>
      </c>
      <c r="AX145" s="147"/>
      <c r="AZ145">
        <v>60</v>
      </c>
    </row>
    <row r="146" spans="5:52" x14ac:dyDescent="0.2">
      <c r="AP146" s="127"/>
      <c r="AQ146" s="25" t="s">
        <v>109</v>
      </c>
      <c r="AR146" s="128"/>
      <c r="AS146" s="130"/>
      <c r="AT146" s="25">
        <v>500</v>
      </c>
      <c r="AU146" s="129">
        <f t="shared" si="26"/>
        <v>500</v>
      </c>
      <c r="AW146" s="152">
        <f>2000+500+200</f>
        <v>2700</v>
      </c>
      <c r="AX146" s="147"/>
      <c r="AZ146">
        <f>312+151</f>
        <v>463</v>
      </c>
    </row>
    <row r="147" spans="5:52" x14ac:dyDescent="0.2">
      <c r="AP147" s="127"/>
      <c r="AQ147" s="25" t="s">
        <v>96</v>
      </c>
      <c r="AR147" s="128"/>
      <c r="AS147" s="130"/>
      <c r="AT147" s="25">
        <v>300</v>
      </c>
      <c r="AU147" s="129">
        <f t="shared" si="26"/>
        <v>300</v>
      </c>
      <c r="AW147" s="152">
        <v>500</v>
      </c>
      <c r="AX147" s="147"/>
      <c r="AZ147">
        <v>0</v>
      </c>
    </row>
    <row r="148" spans="5:52" x14ac:dyDescent="0.2">
      <c r="AP148" s="127"/>
      <c r="AQ148" s="25" t="s">
        <v>97</v>
      </c>
      <c r="AR148" s="128"/>
      <c r="AS148" s="130"/>
      <c r="AT148" s="25"/>
      <c r="AU148" s="129">
        <f t="shared" si="26"/>
        <v>0</v>
      </c>
      <c r="AW148" s="152">
        <v>500</v>
      </c>
      <c r="AX148" s="147"/>
    </row>
    <row r="149" spans="5:52" ht="17" thickBot="1" x14ac:dyDescent="0.25">
      <c r="AP149" s="131"/>
      <c r="AQ149" s="132" t="s">
        <v>98</v>
      </c>
      <c r="AR149" s="133"/>
      <c r="AS149" s="134"/>
      <c r="AT149" s="132">
        <v>0</v>
      </c>
      <c r="AU149" s="135">
        <f t="shared" si="26"/>
        <v>0</v>
      </c>
      <c r="AW149" s="153">
        <v>250</v>
      </c>
      <c r="AX149" s="147"/>
    </row>
    <row r="150" spans="5:52" x14ac:dyDescent="0.2">
      <c r="AQ150" s="121" t="s">
        <v>99</v>
      </c>
      <c r="AR150" s="120">
        <f t="shared" ref="AR150:AW150" si="27">SUM(AR144:AR149)</f>
        <v>5014</v>
      </c>
      <c r="AS150" s="120">
        <f t="shared" si="27"/>
        <v>127</v>
      </c>
      <c r="AT150" s="120">
        <f t="shared" si="27"/>
        <v>934</v>
      </c>
      <c r="AU150" s="120">
        <f t="shared" si="27"/>
        <v>6075</v>
      </c>
      <c r="AW150" s="146">
        <f t="shared" si="27"/>
        <v>4900</v>
      </c>
      <c r="AX150" s="147"/>
    </row>
    <row r="151" spans="5:52" x14ac:dyDescent="0.2">
      <c r="E151" s="6"/>
      <c r="K151" s="7"/>
      <c r="AP151" t="s">
        <v>6</v>
      </c>
      <c r="AR151" s="74">
        <v>1500</v>
      </c>
      <c r="AS151" s="74"/>
      <c r="AT151">
        <f>750+750+180</f>
        <v>1680</v>
      </c>
      <c r="AU151" s="119">
        <f>SUM(AR151:AT151)</f>
        <v>3180</v>
      </c>
      <c r="AW151" s="146">
        <v>3480</v>
      </c>
      <c r="AX151" s="147"/>
      <c r="AZ151">
        <v>750</v>
      </c>
    </row>
    <row r="152" spans="5:52" x14ac:dyDescent="0.2">
      <c r="AP152" t="s">
        <v>46</v>
      </c>
      <c r="AR152" s="74">
        <v>435</v>
      </c>
      <c r="AS152" s="74">
        <v>90</v>
      </c>
      <c r="AT152">
        <v>150</v>
      </c>
      <c r="AU152" s="119">
        <f t="shared" ref="AU152:AU160" si="28">SUM(AR152:AT152)</f>
        <v>675</v>
      </c>
      <c r="AW152" s="146">
        <v>900</v>
      </c>
      <c r="AX152" s="147"/>
      <c r="AZ152">
        <v>90</v>
      </c>
    </row>
    <row r="153" spans="5:52" x14ac:dyDescent="0.2">
      <c r="AP153" t="s">
        <v>56</v>
      </c>
      <c r="AR153" s="74">
        <v>2222</v>
      </c>
      <c r="AS153" s="74"/>
      <c r="AU153" s="119">
        <f t="shared" si="28"/>
        <v>2222</v>
      </c>
      <c r="AW153" s="146"/>
      <c r="AX153" s="147"/>
      <c r="AZ153">
        <f>SUM(AZ145:AZ152)</f>
        <v>1363</v>
      </c>
    </row>
    <row r="154" spans="5:52" x14ac:dyDescent="0.2">
      <c r="AP154" t="s">
        <v>4</v>
      </c>
      <c r="AR154" s="74">
        <v>665</v>
      </c>
      <c r="AS154" s="74"/>
      <c r="AU154" s="119">
        <f t="shared" si="28"/>
        <v>665</v>
      </c>
      <c r="AW154" s="146">
        <v>750</v>
      </c>
      <c r="AX154" s="147"/>
      <c r="AZ154">
        <v>834</v>
      </c>
    </row>
    <row r="155" spans="5:52" x14ac:dyDescent="0.2">
      <c r="AP155" t="s">
        <v>44</v>
      </c>
      <c r="AR155" s="74"/>
      <c r="AS155" s="74">
        <v>294</v>
      </c>
      <c r="AT155">
        <v>118</v>
      </c>
      <c r="AU155" s="119">
        <f t="shared" si="28"/>
        <v>412</v>
      </c>
      <c r="AW155" s="146">
        <v>2000</v>
      </c>
      <c r="AX155" s="147"/>
      <c r="AZ155">
        <f>SUM(AZ153:AZ154)</f>
        <v>2197</v>
      </c>
    </row>
    <row r="156" spans="5:52" x14ac:dyDescent="0.2">
      <c r="AP156" t="s">
        <v>69</v>
      </c>
      <c r="AR156" s="74">
        <v>130</v>
      </c>
      <c r="AS156" s="74"/>
      <c r="AU156" s="119">
        <f t="shared" si="28"/>
        <v>130</v>
      </c>
      <c r="AW156" s="146">
        <v>150</v>
      </c>
      <c r="AX156" s="147"/>
    </row>
    <row r="157" spans="5:52" x14ac:dyDescent="0.2">
      <c r="AP157" t="s">
        <v>47</v>
      </c>
      <c r="AR157" s="74">
        <v>326</v>
      </c>
      <c r="AS157" s="74">
        <v>-50</v>
      </c>
      <c r="AT157">
        <v>50</v>
      </c>
      <c r="AU157" s="119">
        <f t="shared" si="28"/>
        <v>326</v>
      </c>
      <c r="AW157" s="146">
        <v>795</v>
      </c>
      <c r="AX157" s="147"/>
    </row>
    <row r="158" spans="5:52" x14ac:dyDescent="0.2">
      <c r="AP158" t="s">
        <v>110</v>
      </c>
      <c r="AR158" s="74"/>
      <c r="AS158" s="74"/>
      <c r="AU158" s="119"/>
      <c r="AW158" s="146">
        <v>1000</v>
      </c>
      <c r="AX158" s="147"/>
    </row>
    <row r="159" spans="5:52" x14ac:dyDescent="0.2">
      <c r="AP159" t="s">
        <v>5</v>
      </c>
      <c r="AR159" s="74"/>
      <c r="AS159" s="75"/>
      <c r="AU159" s="119">
        <f t="shared" si="28"/>
        <v>0</v>
      </c>
      <c r="AW159" s="146">
        <v>1000</v>
      </c>
      <c r="AX159" s="147"/>
    </row>
    <row r="160" spans="5:52" x14ac:dyDescent="0.2">
      <c r="AP160" t="s">
        <v>50</v>
      </c>
      <c r="AR160" s="74">
        <v>1148</v>
      </c>
      <c r="AS160" s="75">
        <v>79</v>
      </c>
      <c r="AU160" s="119">
        <f t="shared" si="28"/>
        <v>1227</v>
      </c>
      <c r="AW160" s="146"/>
      <c r="AX160" s="147"/>
    </row>
    <row r="161" spans="2:50" x14ac:dyDescent="0.2">
      <c r="AP161" s="1" t="s">
        <v>51</v>
      </c>
      <c r="AQ161" s="1"/>
      <c r="AR161" s="43">
        <f>SUM(AR150:AR160)</f>
        <v>11440</v>
      </c>
      <c r="AS161" s="43">
        <f t="shared" ref="AS161:AW161" si="29">SUM(AS150:AS160)</f>
        <v>540</v>
      </c>
      <c r="AT161" s="43">
        <f t="shared" si="29"/>
        <v>2932</v>
      </c>
      <c r="AU161" s="43">
        <f t="shared" si="29"/>
        <v>14912</v>
      </c>
      <c r="AW161" s="150">
        <f t="shared" si="29"/>
        <v>14975</v>
      </c>
      <c r="AX161" s="147"/>
    </row>
    <row r="162" spans="2:50" x14ac:dyDescent="0.2">
      <c r="AP162" s="1" t="s">
        <v>2</v>
      </c>
      <c r="AQ162" s="1"/>
      <c r="AR162" s="43">
        <f>AR142-AR161</f>
        <v>242</v>
      </c>
      <c r="AS162" s="43">
        <f>AS142-AS161</f>
        <v>-40</v>
      </c>
      <c r="AT162" s="43">
        <f>AT142-AT161</f>
        <v>-2932</v>
      </c>
      <c r="AU162" s="43">
        <f>AU142-AU161</f>
        <v>-2730</v>
      </c>
      <c r="AW162" s="150">
        <f>AW142-AW161</f>
        <v>-2975</v>
      </c>
      <c r="AX162" s="147"/>
    </row>
    <row r="163" spans="2:50" s="5" customFormat="1" x14ac:dyDescent="0.2">
      <c r="B163" s="19"/>
      <c r="C163" s="19"/>
      <c r="G163" s="26"/>
      <c r="H163" s="45"/>
      <c r="I163" s="29"/>
      <c r="J163" s="168"/>
      <c r="K163" s="10"/>
      <c r="L163" s="11"/>
      <c r="X163" s="38"/>
      <c r="Y163" s="38"/>
      <c r="Z163" s="38"/>
      <c r="AA163" s="38"/>
      <c r="AF163" s="138"/>
      <c r="AH163" s="138"/>
      <c r="AP163" s="1" t="s">
        <v>3</v>
      </c>
      <c r="AQ163" s="1"/>
      <c r="AR163" s="85">
        <f>AR135+AR162</f>
        <v>19506</v>
      </c>
      <c r="AS163" s="85">
        <f>AS135+AS162</f>
        <v>19466</v>
      </c>
      <c r="AT163" s="85">
        <f>AT135+AT162</f>
        <v>16534</v>
      </c>
      <c r="AU163" s="85">
        <f>AU135+AU162</f>
        <v>16534.060000000001</v>
      </c>
      <c r="AW163" s="156">
        <f>AW135+AW162</f>
        <v>13559.060000000001</v>
      </c>
      <c r="AX163" s="157"/>
    </row>
    <row r="164" spans="2:50" ht="17" thickBot="1" x14ac:dyDescent="0.25">
      <c r="AQ164" s="117"/>
      <c r="AR164" s="74"/>
      <c r="AS164" s="75"/>
      <c r="AW164" s="154"/>
      <c r="AX164" s="155"/>
    </row>
    <row r="165" spans="2:50" ht="17" thickTop="1" x14ac:dyDescent="0.2">
      <c r="AR165" s="74"/>
      <c r="AS165" s="75"/>
      <c r="AU165" s="119"/>
    </row>
    <row r="166" spans="2:50" x14ac:dyDescent="0.2">
      <c r="AR166" s="74"/>
      <c r="AS166" s="75"/>
    </row>
    <row r="167" spans="2:50" x14ac:dyDescent="0.2">
      <c r="AR167" s="74"/>
      <c r="AS167" s="75"/>
    </row>
    <row r="168" spans="2:50" x14ac:dyDescent="0.2">
      <c r="AP168" s="117" t="s">
        <v>88</v>
      </c>
      <c r="AR168" s="74"/>
      <c r="AS168" s="75"/>
    </row>
  </sheetData>
  <sortState xmlns:xlrd2="http://schemas.microsoft.com/office/spreadsheetml/2017/richdata2" ref="A108:K143">
    <sortCondition ref="A108:A143"/>
  </sortState>
  <mergeCells count="5">
    <mergeCell ref="AW133:AX133"/>
    <mergeCell ref="AF108:AH108"/>
    <mergeCell ref="AM108:AM109"/>
    <mergeCell ref="AI108:AL108"/>
    <mergeCell ref="AR133:AU133"/>
  </mergeCells>
  <pageMargins left="0.7" right="0.7" top="0.75" bottom="0.75" header="0.3" footer="0.3"/>
  <pageSetup paperSize="9" scale="96" orientation="landscape" horizontalDpi="0" verticalDpi="0" copies="6"/>
  <ignoredErrors>
    <ignoredError sqref="AG11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FF633-E19E-9447-BEB4-59083641E5EE}">
  <sheetPr>
    <pageSetUpPr fitToPage="1"/>
  </sheetPr>
  <dimension ref="B4:H17"/>
  <sheetViews>
    <sheetView topLeftCell="A4" zoomScale="160" zoomScaleNormal="160" workbookViewId="0">
      <selection activeCell="D19" sqref="D19"/>
    </sheetView>
  </sheetViews>
  <sheetFormatPr baseColWidth="10" defaultRowHeight="16" x14ac:dyDescent="0.2"/>
  <cols>
    <col min="3" max="3" width="43.1640625" customWidth="1"/>
  </cols>
  <sheetData>
    <row r="4" spans="2:8" ht="40" x14ac:dyDescent="0.25">
      <c r="B4" s="63" t="s">
        <v>10</v>
      </c>
      <c r="C4" s="53"/>
      <c r="D4" s="62" t="s">
        <v>9</v>
      </c>
      <c r="E4" s="64" t="s">
        <v>58</v>
      </c>
      <c r="F4" s="55" t="s">
        <v>74</v>
      </c>
      <c r="G4" s="55" t="s">
        <v>48</v>
      </c>
      <c r="H4" s="55" t="s">
        <v>75</v>
      </c>
    </row>
    <row r="5" spans="2:8" x14ac:dyDescent="0.2">
      <c r="B5" s="6">
        <v>44882</v>
      </c>
      <c r="C5" t="s">
        <v>84</v>
      </c>
      <c r="D5" s="24">
        <v>1239</v>
      </c>
      <c r="E5" s="45" t="s">
        <v>49</v>
      </c>
      <c r="F5" s="28">
        <v>117.6</v>
      </c>
      <c r="G5" s="28">
        <f t="shared" ref="G5:G12" si="0">IF(E5="Y",-F5/6,0)</f>
        <v>-19.599999999999998</v>
      </c>
      <c r="H5" s="28">
        <f t="shared" ref="H5:H12" si="1">SUM(F5:G5)</f>
        <v>98</v>
      </c>
    </row>
    <row r="6" spans="2:8" x14ac:dyDescent="0.2">
      <c r="B6" s="6">
        <v>44938</v>
      </c>
      <c r="C6" t="s">
        <v>102</v>
      </c>
      <c r="D6" s="24">
        <v>1246</v>
      </c>
      <c r="E6" s="45" t="s">
        <v>49</v>
      </c>
      <c r="F6" s="28">
        <v>352.8</v>
      </c>
      <c r="G6" s="28">
        <f t="shared" si="0"/>
        <v>-58.800000000000004</v>
      </c>
      <c r="H6" s="28">
        <f t="shared" si="1"/>
        <v>294</v>
      </c>
    </row>
    <row r="7" spans="2:8" x14ac:dyDescent="0.2">
      <c r="B7" s="6">
        <v>44973</v>
      </c>
      <c r="C7" t="s">
        <v>102</v>
      </c>
      <c r="D7" s="24">
        <v>1249</v>
      </c>
      <c r="E7" s="45" t="s">
        <v>61</v>
      </c>
      <c r="F7" s="28">
        <v>117.6</v>
      </c>
      <c r="G7" s="28">
        <f t="shared" si="0"/>
        <v>-19.599999999999998</v>
      </c>
      <c r="H7" s="28">
        <f t="shared" si="1"/>
        <v>98</v>
      </c>
    </row>
    <row r="8" spans="2:8" x14ac:dyDescent="0.2">
      <c r="B8" s="6">
        <v>44993</v>
      </c>
      <c r="C8" t="s">
        <v>25</v>
      </c>
      <c r="D8" s="24">
        <v>1256</v>
      </c>
      <c r="E8" s="45" t="s">
        <v>61</v>
      </c>
      <c r="F8" s="28">
        <v>181.2</v>
      </c>
      <c r="G8" s="28">
        <f>IF(E8="Y",-F8/6,0)</f>
        <v>-30.2</v>
      </c>
      <c r="H8" s="28">
        <f>SUM(F8:G8)</f>
        <v>151</v>
      </c>
    </row>
    <row r="9" spans="2:8" x14ac:dyDescent="0.2">
      <c r="B9" s="6">
        <v>44993</v>
      </c>
      <c r="C9" t="s">
        <v>118</v>
      </c>
      <c r="D9" s="24">
        <v>1259</v>
      </c>
      <c r="E9" s="45" t="s">
        <v>61</v>
      </c>
      <c r="F9" s="28">
        <v>31.18</v>
      </c>
      <c r="G9" s="28">
        <f>IF(E9="Y",-F9/6,0)</f>
        <v>-5.1966666666666663</v>
      </c>
      <c r="H9" s="28">
        <f>SUM(F9:G9)</f>
        <v>25.983333333333334</v>
      </c>
    </row>
    <row r="10" spans="2:8" x14ac:dyDescent="0.2">
      <c r="B10" s="6">
        <v>44993</v>
      </c>
      <c r="C10" s="25" t="s">
        <v>119</v>
      </c>
      <c r="D10" s="24">
        <v>1260</v>
      </c>
      <c r="E10" s="45" t="s">
        <v>49</v>
      </c>
      <c r="F10" s="28">
        <v>374.4</v>
      </c>
      <c r="G10" s="28">
        <f t="shared" si="0"/>
        <v>-62.4</v>
      </c>
      <c r="H10" s="28">
        <f t="shared" si="1"/>
        <v>312</v>
      </c>
    </row>
    <row r="11" spans="2:8" x14ac:dyDescent="0.2">
      <c r="B11" s="6">
        <v>44993</v>
      </c>
      <c r="C11" t="s">
        <v>60</v>
      </c>
      <c r="D11" s="24">
        <v>1261</v>
      </c>
      <c r="E11" s="45" t="s">
        <v>61</v>
      </c>
      <c r="F11" s="28">
        <v>420</v>
      </c>
      <c r="G11" s="28">
        <f>IF(E11="Y",-F11/6,0)</f>
        <v>-70</v>
      </c>
      <c r="H11" s="28">
        <f>SUM(F11:G11)</f>
        <v>350</v>
      </c>
    </row>
    <row r="12" spans="2:8" x14ac:dyDescent="0.2">
      <c r="B12" s="6">
        <v>44993</v>
      </c>
      <c r="C12" t="s">
        <v>121</v>
      </c>
      <c r="D12" s="24">
        <v>1262</v>
      </c>
      <c r="E12" s="45" t="s">
        <v>61</v>
      </c>
      <c r="F12" s="118">
        <v>612</v>
      </c>
      <c r="G12" s="118">
        <f t="shared" si="0"/>
        <v>-102</v>
      </c>
      <c r="H12" s="118">
        <f t="shared" si="1"/>
        <v>510</v>
      </c>
    </row>
    <row r="13" spans="2:8" ht="17" thickBot="1" x14ac:dyDescent="0.25">
      <c r="F13" s="161">
        <f>SUM(F5:F12)</f>
        <v>2206.7799999999997</v>
      </c>
      <c r="G13" s="161">
        <f t="shared" ref="G13:H13" si="2">SUM(G5:G12)</f>
        <v>-367.79666666666662</v>
      </c>
      <c r="H13" s="161">
        <f t="shared" si="2"/>
        <v>1838.9833333333333</v>
      </c>
    </row>
    <row r="14" spans="2:8" x14ac:dyDescent="0.2">
      <c r="G14">
        <v>39.75</v>
      </c>
      <c r="H14" t="s">
        <v>123</v>
      </c>
    </row>
    <row r="15" spans="2:8" x14ac:dyDescent="0.2">
      <c r="G15" s="202">
        <f>SUM(G13:G14)</f>
        <v>-328.04666666666662</v>
      </c>
      <c r="H15" t="s">
        <v>159</v>
      </c>
    </row>
    <row r="16" spans="2:8" x14ac:dyDescent="0.2">
      <c r="G16">
        <v>-336.75</v>
      </c>
      <c r="H16" t="s">
        <v>160</v>
      </c>
    </row>
    <row r="17" spans="7:8" ht="17" thickBot="1" x14ac:dyDescent="0.25">
      <c r="G17" s="161">
        <f>G15-G16</f>
        <v>8.7033333333333758</v>
      </c>
      <c r="H17" t="s">
        <v>161</v>
      </c>
    </row>
  </sheetData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2023~24 Cash Book</vt:lpstr>
      <vt:lpstr>FY Variances</vt:lpstr>
      <vt:lpstr>LIST 1</vt:lpstr>
      <vt:lpstr>2022~23 Cash Book</vt:lpstr>
      <vt:lpstr>Year end VAT</vt:lpstr>
      <vt:lpstr>'2022~23 Cash Book'!Print_Area</vt:lpstr>
      <vt:lpstr>'2023~24 Cash Book'!Print_Area</vt:lpstr>
      <vt:lpstr>'FY Variances'!Print_Area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Nick Hubbard</cp:lastModifiedBy>
  <cp:lastPrinted>2024-04-22T12:36:17Z</cp:lastPrinted>
  <dcterms:created xsi:type="dcterms:W3CDTF">2021-05-19T14:24:06Z</dcterms:created>
  <dcterms:modified xsi:type="dcterms:W3CDTF">2024-04-22T12:43:33Z</dcterms:modified>
</cp:coreProperties>
</file>